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35" yWindow="30" windowWidth="6570" windowHeight="82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Лист1!$A$1:$I$407</definedName>
  </definedNames>
  <calcPr calcId="125725"/>
</workbook>
</file>

<file path=xl/calcChain.xml><?xml version="1.0" encoding="utf-8"?>
<calcChain xmlns="http://schemas.openxmlformats.org/spreadsheetml/2006/main">
  <c r="I406" i="1"/>
  <c r="H406"/>
  <c r="G406"/>
  <c r="F406"/>
  <c r="E406"/>
  <c r="D406"/>
  <c r="C406"/>
  <c r="C299" l="1"/>
  <c r="I298"/>
  <c r="H298"/>
  <c r="G298"/>
  <c r="F298"/>
  <c r="E298"/>
  <c r="C297"/>
  <c r="I295"/>
  <c r="H295"/>
  <c r="G295"/>
  <c r="F295"/>
  <c r="E295"/>
  <c r="D295"/>
  <c r="I292"/>
  <c r="H292"/>
  <c r="G292"/>
  <c r="F292"/>
  <c r="E292"/>
  <c r="D292"/>
  <c r="I289"/>
  <c r="H289"/>
  <c r="G289"/>
  <c r="F289"/>
  <c r="E289"/>
  <c r="D289"/>
  <c r="I286"/>
  <c r="H286"/>
  <c r="G286"/>
  <c r="F286"/>
  <c r="E286"/>
  <c r="D286"/>
  <c r="I277"/>
  <c r="H277"/>
  <c r="G277"/>
  <c r="F277"/>
  <c r="E277"/>
  <c r="D277"/>
  <c r="I274"/>
  <c r="H274"/>
  <c r="G274"/>
  <c r="F274"/>
  <c r="E274"/>
  <c r="D274"/>
  <c r="I271"/>
  <c r="H271"/>
  <c r="G271"/>
  <c r="F271"/>
  <c r="E271"/>
  <c r="D271"/>
  <c r="I268"/>
  <c r="H268"/>
  <c r="G268"/>
  <c r="F268"/>
  <c r="E268"/>
  <c r="D268"/>
  <c r="I265"/>
  <c r="H265"/>
  <c r="G265"/>
  <c r="F265"/>
  <c r="E265"/>
  <c r="D265"/>
  <c r="I262"/>
  <c r="H262"/>
  <c r="G262"/>
  <c r="F262"/>
  <c r="E262"/>
  <c r="D262"/>
  <c r="I257"/>
  <c r="H257"/>
  <c r="G257"/>
  <c r="F257"/>
  <c r="E257"/>
  <c r="D257"/>
  <c r="I255"/>
  <c r="H255"/>
  <c r="G255"/>
  <c r="F255"/>
  <c r="E255"/>
  <c r="D255"/>
  <c r="I250"/>
  <c r="H250"/>
  <c r="G250"/>
  <c r="F250"/>
  <c r="E250"/>
  <c r="D250"/>
  <c r="E312"/>
  <c r="G258" l="1"/>
  <c r="C257"/>
  <c r="D258" s="1"/>
  <c r="F258"/>
  <c r="E258"/>
  <c r="H258"/>
  <c r="I258"/>
  <c r="D298"/>
  <c r="I99"/>
  <c r="H99"/>
  <c r="G99"/>
  <c r="F99"/>
  <c r="E99"/>
  <c r="D99"/>
  <c r="C99"/>
  <c r="I98"/>
  <c r="H98"/>
  <c r="G98"/>
  <c r="F98"/>
  <c r="E98"/>
  <c r="D98"/>
  <c r="I95"/>
  <c r="H95"/>
  <c r="G95"/>
  <c r="F95"/>
  <c r="E95"/>
  <c r="D95"/>
  <c r="C95"/>
  <c r="I94"/>
  <c r="H94"/>
  <c r="G94"/>
  <c r="F94"/>
  <c r="E94"/>
  <c r="D94"/>
  <c r="I89"/>
  <c r="H89"/>
  <c r="G89"/>
  <c r="F89"/>
  <c r="E89"/>
  <c r="D89"/>
  <c r="I73"/>
  <c r="H73"/>
  <c r="G73"/>
  <c r="F73"/>
  <c r="E73"/>
  <c r="D73"/>
  <c r="I65"/>
  <c r="H65"/>
  <c r="G65"/>
  <c r="F65"/>
  <c r="E65"/>
  <c r="D65"/>
  <c r="I45"/>
  <c r="H45"/>
  <c r="G45"/>
  <c r="F45"/>
  <c r="E45"/>
  <c r="D45"/>
  <c r="I41"/>
  <c r="H41"/>
  <c r="G41"/>
  <c r="F41"/>
  <c r="E41"/>
  <c r="D41"/>
  <c r="I33"/>
  <c r="H33"/>
  <c r="G33"/>
  <c r="F33"/>
  <c r="E33"/>
  <c r="D33"/>
  <c r="I29"/>
  <c r="H29"/>
  <c r="G29"/>
  <c r="F29"/>
  <c r="E29"/>
  <c r="D29"/>
  <c r="I23"/>
  <c r="I46" s="1"/>
  <c r="H23"/>
  <c r="H74" s="1"/>
  <c r="G23"/>
  <c r="G46" s="1"/>
  <c r="F23"/>
  <c r="F42" s="1"/>
  <c r="E23"/>
  <c r="E74" s="1"/>
  <c r="D23"/>
  <c r="D66" s="1"/>
  <c r="C23"/>
  <c r="C78" s="1"/>
  <c r="E20"/>
  <c r="E11"/>
  <c r="E348"/>
  <c r="C348"/>
  <c r="E346"/>
  <c r="C346"/>
  <c r="I195"/>
  <c r="H195"/>
  <c r="G195"/>
  <c r="I194"/>
  <c r="H194"/>
  <c r="G194"/>
  <c r="I193"/>
  <c r="H193"/>
  <c r="G193"/>
  <c r="I192"/>
  <c r="H192"/>
  <c r="G192"/>
  <c r="I190"/>
  <c r="H190"/>
  <c r="G190"/>
  <c r="I189"/>
  <c r="H189"/>
  <c r="G189"/>
  <c r="I188"/>
  <c r="H188"/>
  <c r="G188"/>
  <c r="F186"/>
  <c r="E186"/>
  <c r="D186"/>
  <c r="I185"/>
  <c r="I186" s="1"/>
  <c r="H185"/>
  <c r="H186" s="1"/>
  <c r="G185"/>
  <c r="G186" s="1"/>
  <c r="F184"/>
  <c r="E184"/>
  <c r="D184"/>
  <c r="I183"/>
  <c r="I184" s="1"/>
  <c r="H183"/>
  <c r="H184" s="1"/>
  <c r="G183"/>
  <c r="G184" s="1"/>
  <c r="F178"/>
  <c r="G178" s="1"/>
  <c r="G179" s="1"/>
  <c r="E178"/>
  <c r="D178"/>
  <c r="C178"/>
  <c r="F177"/>
  <c r="E177"/>
  <c r="D177"/>
  <c r="I176"/>
  <c r="I177" s="1"/>
  <c r="H176"/>
  <c r="H177" s="1"/>
  <c r="G176"/>
  <c r="G177" s="1"/>
  <c r="F175"/>
  <c r="E175"/>
  <c r="D175"/>
  <c r="I174"/>
  <c r="I175" s="1"/>
  <c r="H174"/>
  <c r="H175" s="1"/>
  <c r="G174"/>
  <c r="G175" s="1"/>
  <c r="D173"/>
  <c r="F169"/>
  <c r="E169"/>
  <c r="D169"/>
  <c r="C169"/>
  <c r="F168"/>
  <c r="E168"/>
  <c r="D168"/>
  <c r="I167"/>
  <c r="I168" s="1"/>
  <c r="H167"/>
  <c r="H168" s="1"/>
  <c r="G167"/>
  <c r="G168" s="1"/>
  <c r="F166"/>
  <c r="E166"/>
  <c r="D166"/>
  <c r="I165"/>
  <c r="I166" s="1"/>
  <c r="H165"/>
  <c r="H166" s="1"/>
  <c r="G165"/>
  <c r="G166" s="1"/>
  <c r="F164"/>
  <c r="E164"/>
  <c r="D164"/>
  <c r="I163"/>
  <c r="I164" s="1"/>
  <c r="H163"/>
  <c r="H164" s="1"/>
  <c r="G163"/>
  <c r="G164" s="1"/>
  <c r="F160"/>
  <c r="E160"/>
  <c r="D160"/>
  <c r="C160"/>
  <c r="F159"/>
  <c r="E159"/>
  <c r="D159"/>
  <c r="I158"/>
  <c r="I159" s="1"/>
  <c r="H158"/>
  <c r="H159" s="1"/>
  <c r="G158"/>
  <c r="G159" s="1"/>
  <c r="F157"/>
  <c r="E157"/>
  <c r="D157"/>
  <c r="I156"/>
  <c r="I157" s="1"/>
  <c r="H156"/>
  <c r="H157" s="1"/>
  <c r="G156"/>
  <c r="G157" s="1"/>
  <c r="F155"/>
  <c r="E155"/>
  <c r="I154"/>
  <c r="I155" s="1"/>
  <c r="H154"/>
  <c r="H155" s="1"/>
  <c r="G154"/>
  <c r="G155" s="1"/>
  <c r="F151"/>
  <c r="E151"/>
  <c r="D151"/>
  <c r="C151"/>
  <c r="F150"/>
  <c r="E150"/>
  <c r="D150"/>
  <c r="I149"/>
  <c r="I150" s="1"/>
  <c r="H149"/>
  <c r="H150" s="1"/>
  <c r="G149"/>
  <c r="G150" s="1"/>
  <c r="F148"/>
  <c r="E148"/>
  <c r="D148"/>
  <c r="I147"/>
  <c r="I148" s="1"/>
  <c r="H147"/>
  <c r="H148" s="1"/>
  <c r="G147"/>
  <c r="G148" s="1"/>
  <c r="F146"/>
  <c r="E146"/>
  <c r="D146"/>
  <c r="I145"/>
  <c r="I146" s="1"/>
  <c r="H145"/>
  <c r="H146" s="1"/>
  <c r="G145"/>
  <c r="G146" s="1"/>
  <c r="F142"/>
  <c r="H142" s="1"/>
  <c r="H143" s="1"/>
  <c r="E142"/>
  <c r="D142"/>
  <c r="C142"/>
  <c r="F141"/>
  <c r="I140"/>
  <c r="I141" s="1"/>
  <c r="H140"/>
  <c r="H141" s="1"/>
  <c r="G140"/>
  <c r="G141" s="1"/>
  <c r="F139"/>
  <c r="E139"/>
  <c r="D139"/>
  <c r="I138"/>
  <c r="I139" s="1"/>
  <c r="H138"/>
  <c r="H139" s="1"/>
  <c r="G138"/>
  <c r="G139" s="1"/>
  <c r="F135"/>
  <c r="E135"/>
  <c r="D135"/>
  <c r="C135"/>
  <c r="F133"/>
  <c r="E133"/>
  <c r="D133"/>
  <c r="I132"/>
  <c r="H132"/>
  <c r="G132"/>
  <c r="F130"/>
  <c r="E130"/>
  <c r="D130"/>
  <c r="I129"/>
  <c r="H129"/>
  <c r="G129"/>
  <c r="G130" s="1"/>
  <c r="F127"/>
  <c r="E127"/>
  <c r="D127"/>
  <c r="I126"/>
  <c r="H126"/>
  <c r="G126"/>
  <c r="G127" s="1"/>
  <c r="F123"/>
  <c r="E123"/>
  <c r="D123"/>
  <c r="I122"/>
  <c r="H122"/>
  <c r="G122"/>
  <c r="G123" s="1"/>
  <c r="F120"/>
  <c r="E120"/>
  <c r="D120"/>
  <c r="I119"/>
  <c r="H119"/>
  <c r="G119"/>
  <c r="D117"/>
  <c r="F116"/>
  <c r="E116"/>
  <c r="E117" s="1"/>
  <c r="E316"/>
  <c r="D316"/>
  <c r="D317" s="1"/>
  <c r="F317"/>
  <c r="G233"/>
  <c r="G237"/>
  <c r="G200"/>
  <c r="G239" s="1"/>
  <c r="F200"/>
  <c r="F239" s="1"/>
  <c r="G246"/>
  <c r="I317"/>
  <c r="H317"/>
  <c r="G317"/>
  <c r="C317"/>
  <c r="C308"/>
  <c r="C301" s="1"/>
  <c r="E226"/>
  <c r="F227" s="1"/>
  <c r="I200"/>
  <c r="I239" s="1"/>
  <c r="H200"/>
  <c r="H198" s="1"/>
  <c r="E223"/>
  <c r="F224" s="1"/>
  <c r="D214"/>
  <c r="E215" s="1"/>
  <c r="D223"/>
  <c r="H227"/>
  <c r="I246"/>
  <c r="H246"/>
  <c r="F246"/>
  <c r="E246"/>
  <c r="I233"/>
  <c r="H233"/>
  <c r="F233"/>
  <c r="E233"/>
  <c r="D233"/>
  <c r="C233"/>
  <c r="I230"/>
  <c r="H230"/>
  <c r="G230"/>
  <c r="F230"/>
  <c r="E230"/>
  <c r="D230"/>
  <c r="C230"/>
  <c r="I227"/>
  <c r="D227"/>
  <c r="C227"/>
  <c r="I224"/>
  <c r="H224"/>
  <c r="G224"/>
  <c r="C224"/>
  <c r="G212"/>
  <c r="I212"/>
  <c r="H212"/>
  <c r="F212"/>
  <c r="E212"/>
  <c r="D212"/>
  <c r="C212"/>
  <c r="I215"/>
  <c r="H215"/>
  <c r="G215"/>
  <c r="I218"/>
  <c r="H218"/>
  <c r="C218"/>
  <c r="F215"/>
  <c r="F382"/>
  <c r="G382"/>
  <c r="H382"/>
  <c r="I382"/>
  <c r="E382"/>
  <c r="F379"/>
  <c r="G379"/>
  <c r="H379"/>
  <c r="I379"/>
  <c r="E379"/>
  <c r="F395"/>
  <c r="F393"/>
  <c r="I391"/>
  <c r="F391"/>
  <c r="G391"/>
  <c r="E395"/>
  <c r="E394"/>
  <c r="E393"/>
  <c r="E391"/>
  <c r="F237"/>
  <c r="C246"/>
  <c r="D246"/>
  <c r="C214"/>
  <c r="C215" s="1"/>
  <c r="H391"/>
  <c r="D395"/>
  <c r="C395"/>
  <c r="D394"/>
  <c r="C394"/>
  <c r="D393"/>
  <c r="C393"/>
  <c r="C391"/>
  <c r="I237"/>
  <c r="H237"/>
  <c r="G227"/>
  <c r="F117" l="1"/>
  <c r="I120"/>
  <c r="E170"/>
  <c r="E227"/>
  <c r="G198"/>
  <c r="H199" s="1"/>
  <c r="I6"/>
  <c r="I12" s="1"/>
  <c r="H120"/>
  <c r="D152"/>
  <c r="E161"/>
  <c r="C6"/>
  <c r="C90" s="1"/>
  <c r="D215"/>
  <c r="I127"/>
  <c r="D136"/>
  <c r="E152"/>
  <c r="D143"/>
  <c r="F152"/>
  <c r="C30"/>
  <c r="I30"/>
  <c r="F34"/>
  <c r="I34"/>
  <c r="F46"/>
  <c r="F66"/>
  <c r="E200"/>
  <c r="D34"/>
  <c r="C66"/>
  <c r="I66"/>
  <c r="G6"/>
  <c r="G12" s="1"/>
  <c r="G24"/>
  <c r="G30"/>
  <c r="C34"/>
  <c r="H123"/>
  <c r="H130"/>
  <c r="D200"/>
  <c r="F198"/>
  <c r="H133"/>
  <c r="I133"/>
  <c r="E143"/>
  <c r="D161"/>
  <c r="F6"/>
  <c r="F12" s="1"/>
  <c r="D24"/>
  <c r="F30"/>
  <c r="G34"/>
  <c r="G66"/>
  <c r="D74"/>
  <c r="I24"/>
  <c r="D42"/>
  <c r="E46"/>
  <c r="H46"/>
  <c r="C74"/>
  <c r="G74"/>
  <c r="I74"/>
  <c r="H42"/>
  <c r="E6"/>
  <c r="H6"/>
  <c r="H25" s="1"/>
  <c r="F24"/>
  <c r="E30"/>
  <c r="H30"/>
  <c r="C42"/>
  <c r="G42"/>
  <c r="I42"/>
  <c r="D46"/>
  <c r="E66"/>
  <c r="H66"/>
  <c r="F74"/>
  <c r="D78"/>
  <c r="E42"/>
  <c r="D6"/>
  <c r="D25" s="1"/>
  <c r="E24"/>
  <c r="H24"/>
  <c r="D30"/>
  <c r="E34"/>
  <c r="H34"/>
  <c r="C46"/>
  <c r="E179"/>
  <c r="H178"/>
  <c r="H179" s="1"/>
  <c r="H239"/>
  <c r="H240" s="1"/>
  <c r="I198"/>
  <c r="I199" s="1"/>
  <c r="G135"/>
  <c r="G136" s="1"/>
  <c r="H151"/>
  <c r="H152" s="1"/>
  <c r="D179"/>
  <c r="I130"/>
  <c r="I135"/>
  <c r="I136" s="1"/>
  <c r="E224"/>
  <c r="I123"/>
  <c r="E136"/>
  <c r="H135"/>
  <c r="H136" s="1"/>
  <c r="F143"/>
  <c r="D170"/>
  <c r="I178"/>
  <c r="I179" s="1"/>
  <c r="G116"/>
  <c r="G117" s="1"/>
  <c r="I116"/>
  <c r="G120"/>
  <c r="H127"/>
  <c r="G133"/>
  <c r="G160"/>
  <c r="G161" s="1"/>
  <c r="I160"/>
  <c r="I161" s="1"/>
  <c r="F161"/>
  <c r="G169"/>
  <c r="G170" s="1"/>
  <c r="I169"/>
  <c r="I170" s="1"/>
  <c r="F170"/>
  <c r="H116"/>
  <c r="F136"/>
  <c r="H160"/>
  <c r="H161" s="1"/>
  <c r="H169"/>
  <c r="H170" s="1"/>
  <c r="F179"/>
  <c r="G142"/>
  <c r="G143" s="1"/>
  <c r="I142"/>
  <c r="I143" s="1"/>
  <c r="G151"/>
  <c r="G152" s="1"/>
  <c r="I151"/>
  <c r="I152" s="1"/>
  <c r="G240"/>
  <c r="D224"/>
  <c r="C200"/>
  <c r="C198" s="1"/>
  <c r="C199" s="1"/>
  <c r="E317"/>
  <c r="I90" l="1"/>
  <c r="D198"/>
  <c r="D199" s="1"/>
  <c r="G25"/>
  <c r="G90"/>
  <c r="G199"/>
  <c r="I25"/>
  <c r="C25"/>
  <c r="H117"/>
  <c r="F90"/>
  <c r="E198"/>
  <c r="F199" s="1"/>
  <c r="E239"/>
  <c r="F25"/>
  <c r="G7"/>
  <c r="E12"/>
  <c r="E90"/>
  <c r="F7"/>
  <c r="E7"/>
  <c r="H12"/>
  <c r="H90"/>
  <c r="H7"/>
  <c r="D90"/>
  <c r="D7"/>
  <c r="D12"/>
  <c r="E25"/>
  <c r="I7"/>
  <c r="I240"/>
  <c r="I117"/>
  <c r="E199" l="1"/>
  <c r="E240"/>
  <c r="F240"/>
</calcChain>
</file>

<file path=xl/sharedStrings.xml><?xml version="1.0" encoding="utf-8"?>
<sst xmlns="http://schemas.openxmlformats.org/spreadsheetml/2006/main" count="686" uniqueCount="273">
  <si>
    <t>Показатели</t>
  </si>
  <si>
    <t>- в действующих ценах</t>
  </si>
  <si>
    <t xml:space="preserve">млн. рублей </t>
  </si>
  <si>
    <t>- индекс промышленного производства</t>
  </si>
  <si>
    <t>в % к пред. году</t>
  </si>
  <si>
    <t>%</t>
  </si>
  <si>
    <t>млн. рублей</t>
  </si>
  <si>
    <t>тыс. тонн</t>
  </si>
  <si>
    <t>тыс.тонн</t>
  </si>
  <si>
    <t>тыс. куб. м.</t>
  </si>
  <si>
    <t>млн. условных кирпичей</t>
  </si>
  <si>
    <t>тыс. шт.</t>
  </si>
  <si>
    <t>В том числе:</t>
  </si>
  <si>
    <t>- в сопоставимых ценах</t>
  </si>
  <si>
    <t>в том числе:</t>
  </si>
  <si>
    <t>Из общего объема продукции сельского хозяйства:</t>
  </si>
  <si>
    <t>Зерно (в весе после доработки) - всего</t>
  </si>
  <si>
    <t>- сельскохозяйственные организации</t>
  </si>
  <si>
    <t>- крестьянские (фермерские) хозяйства</t>
  </si>
  <si>
    <t>Картофель - всего</t>
  </si>
  <si>
    <t>- хозяйства населения</t>
  </si>
  <si>
    <t>Овощи - всего</t>
  </si>
  <si>
    <t>Молоко - всего</t>
  </si>
  <si>
    <t>Яйцо - всего</t>
  </si>
  <si>
    <t>Площади сельскохозяйственных угодий (во всех категориях хозяйств), занятые под посевами:</t>
  </si>
  <si>
    <t>- зерновых</t>
  </si>
  <si>
    <t>- картофеля</t>
  </si>
  <si>
    <t>- овощей</t>
  </si>
  <si>
    <t>- крупный рогатый скот</t>
  </si>
  <si>
    <t>в том числе  коровы</t>
  </si>
  <si>
    <t xml:space="preserve">- свиньи </t>
  </si>
  <si>
    <t>- птица</t>
  </si>
  <si>
    <t>тыс. рублей</t>
  </si>
  <si>
    <t>млн. шт.</t>
  </si>
  <si>
    <t>тыс. га</t>
  </si>
  <si>
    <t>тыс. голов</t>
  </si>
  <si>
    <t>км</t>
  </si>
  <si>
    <t>единиц</t>
  </si>
  <si>
    <t>тыс . чел .</t>
  </si>
  <si>
    <t>Объем инвестиций в основной капитал за счет всех источников финансирования:</t>
  </si>
  <si>
    <t>в том числе</t>
  </si>
  <si>
    <t>Финансы</t>
  </si>
  <si>
    <t>Сальдированный финансовый результат (прибыль минус убыток)</t>
  </si>
  <si>
    <t>млн . руб .</t>
  </si>
  <si>
    <t>тыс. чел.</t>
  </si>
  <si>
    <t>человек</t>
  </si>
  <si>
    <t>рублей</t>
  </si>
  <si>
    <t>Ввод в эксплуатацию жилых домов за счет всех источников финансирования</t>
  </si>
  <si>
    <t>Средняя обеспеченность населения общей площадью жилых домов (на конец года)</t>
  </si>
  <si>
    <t>кв. м  на человека</t>
  </si>
  <si>
    <t>Полная стоимость предоставляемых жилищно-коммунальных услуг</t>
  </si>
  <si>
    <t>коек на 10 тыс. жителей</t>
  </si>
  <si>
    <t>посещений в смену на 10 тыс. жителей</t>
  </si>
  <si>
    <t>чел. на 10 тыс. жителей</t>
  </si>
  <si>
    <t>мест на 10 тыс. жителей</t>
  </si>
  <si>
    <t>Удельный вес учащихся занимающихся в первую смену в дневных учреждениях общего образования (в % к общему числу обучающихся в этих учреждениях) (на начало года)</t>
  </si>
  <si>
    <t>Обеспеченность:</t>
  </si>
  <si>
    <t>Сельское хозяйство</t>
  </si>
  <si>
    <t>Cобственные средства предприятий</t>
  </si>
  <si>
    <t xml:space="preserve">Привлеченные средства </t>
  </si>
  <si>
    <t>Потребительский рынок</t>
  </si>
  <si>
    <t>Оборот розничной торговли</t>
  </si>
  <si>
    <t>Удельный вес продовольственных товаров</t>
  </si>
  <si>
    <t>Объем платных услуг населению</t>
  </si>
  <si>
    <t>Бытовые услуги</t>
  </si>
  <si>
    <t xml:space="preserve">Транспортные услуги </t>
  </si>
  <si>
    <t>Услуги связи</t>
  </si>
  <si>
    <t>Жилищные услуги</t>
  </si>
  <si>
    <t>Коммунальные услуги</t>
  </si>
  <si>
    <t>Услуги учреждений культуры</t>
  </si>
  <si>
    <t>Туристские услуги</t>
  </si>
  <si>
    <t>Услуги физической культуры и спорта</t>
  </si>
  <si>
    <t>Медицинские услуги</t>
  </si>
  <si>
    <t>Санаторно-оздоровительные услуги</t>
  </si>
  <si>
    <t>Ветеринарные услуги</t>
  </si>
  <si>
    <t>Услуги правого характера</t>
  </si>
  <si>
    <t>Услуги в системе образования</t>
  </si>
  <si>
    <t xml:space="preserve">Прочие виды услуг </t>
  </si>
  <si>
    <t>Оборот общественного питания</t>
  </si>
  <si>
    <t xml:space="preserve">   - в действующих ценах</t>
  </si>
  <si>
    <t xml:space="preserve">   - в сопоставимых ценах</t>
  </si>
  <si>
    <t>Удельный вес непродовольственных товаров</t>
  </si>
  <si>
    <t xml:space="preserve">Строительство и реконструкция автомобильных дорог общего пользования </t>
  </si>
  <si>
    <t>Из раздела С:</t>
  </si>
  <si>
    <t>Из раздела D:</t>
  </si>
  <si>
    <t>Прочие производства</t>
  </si>
  <si>
    <t>Производство прочих материалов и веществ</t>
  </si>
  <si>
    <t>Из раздела Е:</t>
  </si>
  <si>
    <t>млн. долл. США</t>
  </si>
  <si>
    <t>Иностранные инвестици</t>
  </si>
  <si>
    <t>Из раздела А:</t>
  </si>
  <si>
    <t>Продукция сельскохозяйственных организаций:</t>
  </si>
  <si>
    <t>Продукция крестьянских (фермерских) хозяйств:</t>
  </si>
  <si>
    <t xml:space="preserve">Продукция в хозяйствах населения: </t>
  </si>
  <si>
    <t>Производство основных видов сельскохозяйственной продукции:</t>
  </si>
  <si>
    <t xml:space="preserve">Поголовье скота и птицы на конец года (во всех категориях хозяйств): </t>
  </si>
  <si>
    <t>тыс.кв.м на 10 тыс.чел.</t>
  </si>
  <si>
    <t>кв.м на 10 тыс.чел.</t>
  </si>
  <si>
    <t>кв.м зеркала воды на 10 тыс.чел.</t>
  </si>
  <si>
    <t>Среднемесячная заработная плата одного работника в целом по муниципальному району (городскому округу)</t>
  </si>
  <si>
    <t>Производство промышленной продукции</t>
  </si>
  <si>
    <t>Инвестиционная и строительная деятельность</t>
  </si>
  <si>
    <t>Рынок труда и заработной платы</t>
  </si>
  <si>
    <t>Развитие малого предпринимательства</t>
  </si>
  <si>
    <t>Социальная сфера</t>
  </si>
  <si>
    <t>Муниципальное имущество</t>
  </si>
  <si>
    <t>Территория</t>
  </si>
  <si>
    <t>Демография</t>
  </si>
  <si>
    <t>Окружающая среда</t>
  </si>
  <si>
    <t>тыс.руб.</t>
  </si>
  <si>
    <t>Территория, всего</t>
  </si>
  <si>
    <t>предоставленная  физическим лицам:</t>
  </si>
  <si>
    <t>во владение, пользование</t>
  </si>
  <si>
    <t>в аренду</t>
  </si>
  <si>
    <t>предоставленная юридическим лицам:</t>
  </si>
  <si>
    <t>в пользование</t>
  </si>
  <si>
    <t>жилых зданий</t>
  </si>
  <si>
    <t>объектов социально - культурного назначения</t>
  </si>
  <si>
    <t>Территориальные резервы для развития, всего</t>
  </si>
  <si>
    <t xml:space="preserve">в том числе: </t>
  </si>
  <si>
    <t>незастроенные сельскохозяйственные земли</t>
  </si>
  <si>
    <t>тыс. кв.м.</t>
  </si>
  <si>
    <t>Площадь, занимаемая объектами предназначенными для сноса, перепланировки и переноса на другую территорию</t>
  </si>
  <si>
    <t>Расходы бюджета на органы местного самоуправления</t>
  </si>
  <si>
    <t>Наличие основных фондов, находящихся в муниципальной собственности (по остаточной балансовой стоимости)</t>
  </si>
  <si>
    <t xml:space="preserve">территория, находящаяся в ведении </t>
  </si>
  <si>
    <t>территория, находящаяся в собственности:</t>
  </si>
  <si>
    <t>Площадь, предназначенная для строительства, всего</t>
  </si>
  <si>
    <t>Прибыль прибыльных организаций</t>
  </si>
  <si>
    <t>млн .рублей</t>
  </si>
  <si>
    <t xml:space="preserve"> Сельское хозяйство, охота и предоставление услуг в этих областях</t>
  </si>
  <si>
    <t xml:space="preserve"> Растениеводство</t>
  </si>
  <si>
    <t xml:space="preserve"> Животноводство</t>
  </si>
  <si>
    <t>Выбросы загрязняющих веществ в атмосферный воздух</t>
  </si>
  <si>
    <t>твердые вещества</t>
  </si>
  <si>
    <t xml:space="preserve">газообразные и жидкие </t>
  </si>
  <si>
    <t>В расчете на одного жителя</t>
  </si>
  <si>
    <t>Текущие затраты на охрану окружающей среды</t>
  </si>
  <si>
    <t>ед.</t>
  </si>
  <si>
    <t>тонн</t>
  </si>
  <si>
    <t>Производство, передача и распределение электроэнергии, газа и пара</t>
  </si>
  <si>
    <t>Сбор, очистка и распределение  воды</t>
  </si>
  <si>
    <t>Производство нефтепродуктов</t>
  </si>
  <si>
    <t xml:space="preserve"> А   Сельское хозяйство, охота и лесное хозяйство</t>
  </si>
  <si>
    <t>В Рыболовство, рыбоводство</t>
  </si>
  <si>
    <t>С   Добыча полезных ископаемых</t>
  </si>
  <si>
    <t xml:space="preserve"> Д   Обрабатывающие  производства</t>
  </si>
  <si>
    <t>Е   Производство и распределение электроэнергии, газа и воды</t>
  </si>
  <si>
    <t xml:space="preserve"> F   Строительство</t>
  </si>
  <si>
    <t xml:space="preserve"> G   Оптовая и розничная торговля</t>
  </si>
  <si>
    <t xml:space="preserve"> I   Транспорт и связь</t>
  </si>
  <si>
    <t xml:space="preserve"> К  Операции с недвижимым имуществом, аренда и предоставление услуг</t>
  </si>
  <si>
    <t xml:space="preserve"> М  Образование</t>
  </si>
  <si>
    <t xml:space="preserve"> N Здравоохранение и предоставление социальных услуг</t>
  </si>
  <si>
    <t xml:space="preserve">Численность занятых в экономике (среднегодовая) - всего (по данным баланса трудовых ресурсов) </t>
  </si>
  <si>
    <t>Распределение среднегодовой численности занятых в экономике по формам собственности:</t>
  </si>
  <si>
    <t>государственная  форма собственности</t>
  </si>
  <si>
    <t>муниципальная форма собственности</t>
  </si>
  <si>
    <t>собственность общественных и религиозных организаций (объединений)</t>
  </si>
  <si>
    <t>смешанная российская форма собственности</t>
  </si>
  <si>
    <t>иностранная, совместная российская и иностранная формы собственности</t>
  </si>
  <si>
    <t>частная форма собственности</t>
  </si>
  <si>
    <t>в том числе занятые:</t>
  </si>
  <si>
    <t>в крестьянских (фермерских) хозяйствах (включая наемных работников)</t>
  </si>
  <si>
    <t>на частных предприятиях</t>
  </si>
  <si>
    <t>индивидуальным трудом и по найму у отдельных граждан,включая занятых в домашнем хозяйстве производством товаров и услуг для реализации (включая личное подсобное хозяйство)</t>
  </si>
  <si>
    <t>Среднесписочная численность работников предприятий/организаций - всего</t>
  </si>
  <si>
    <t>тыс.кв.м общей площади</t>
  </si>
  <si>
    <t xml:space="preserve">   за счет средств местных бюджетов</t>
  </si>
  <si>
    <t xml:space="preserve">   индивидуальные жилые дома, построенные населением за свой счет и (или) с помощью кредитов</t>
  </si>
  <si>
    <t>тыс.кв. м</t>
  </si>
  <si>
    <t xml:space="preserve">   общая площадь ветхого аварийного жилищного фонда</t>
  </si>
  <si>
    <t>Численность официально зарегистрированных безработных (по результатам выборочного обследования)</t>
  </si>
  <si>
    <t>Уровень регистрируемой безработицы (удельный вес безработных в численности экономически активного населения)</t>
  </si>
  <si>
    <t>Фонд оплаты труда, всего</t>
  </si>
  <si>
    <t>Общая площадь муниципального жилищного фонда</t>
  </si>
  <si>
    <t>больничными койками (круглосуточный стационар)</t>
  </si>
  <si>
    <t>койками дневного пребывания (при круглосуточном стационаре)</t>
  </si>
  <si>
    <t>койками сестринского ухода</t>
  </si>
  <si>
    <t>амбулаторно-поликлиническими учреждениями</t>
  </si>
  <si>
    <t xml:space="preserve">врачами            </t>
  </si>
  <si>
    <t>средним медицинским персоналом</t>
  </si>
  <si>
    <t>домами-интернатами для престарелых и инвалидов и детей-инвалидов</t>
  </si>
  <si>
    <t>общедоступными  библиотеками</t>
  </si>
  <si>
    <t>учреждениями культурно-досугового типа</t>
  </si>
  <si>
    <t>спортивными залами</t>
  </si>
  <si>
    <t>плоскостными сооржениями</t>
  </si>
  <si>
    <t>плавательными бассейнами</t>
  </si>
  <si>
    <t>город</t>
  </si>
  <si>
    <t>село</t>
  </si>
  <si>
    <t>Численность постоянного населения (среднегодовая)</t>
  </si>
  <si>
    <t>городского</t>
  </si>
  <si>
    <t>сельского</t>
  </si>
  <si>
    <t>детей в возрасте 1-6 лет местами в дошкольных образовательных учреждениях</t>
  </si>
  <si>
    <t>Площадь капитально отремонтированных жилых домов за год</t>
  </si>
  <si>
    <t>Количество малых предприятии - всего (на конец года)</t>
  </si>
  <si>
    <t>Среднесписочная численность работников малых предприятий (без внешних совместителей)</t>
  </si>
  <si>
    <t>тыс.кв. м на человека</t>
  </si>
  <si>
    <t>Количество предприятий, имеющих выбросы загрязняющих веществ в атмосферу</t>
  </si>
  <si>
    <t>Скот и птица (в живом весе) - всего</t>
  </si>
  <si>
    <t>Объем выполненных работ и услуг собственными силами крупных и средних предприятий и организаций по виду деятельности "строительство"</t>
  </si>
  <si>
    <t>Объем отгруженных товаров собственного производства, выполненных работ и услуг собственными силами (итого по разделам C,D,E)</t>
  </si>
  <si>
    <t>индекс промышленного производства</t>
  </si>
  <si>
    <t>в том числе по видам экономической деятельности</t>
  </si>
  <si>
    <t xml:space="preserve">С "Добыча полезных ископаемых" </t>
  </si>
  <si>
    <t>- индекс  производства</t>
  </si>
  <si>
    <t>- удельный вес в  объеме отгруженных товаров (C,D,E)</t>
  </si>
  <si>
    <t>- удельный вес в объеме отгруженных товаров раздела С</t>
  </si>
  <si>
    <t>- удельный вес в объеме отгруженных товаров раздела D</t>
  </si>
  <si>
    <t>- удельный вес в объеме отгруженных товаров раздела E</t>
  </si>
  <si>
    <t xml:space="preserve">Транспорт </t>
  </si>
  <si>
    <t>Численность работников органов местного самоуправления</t>
  </si>
  <si>
    <t>в том числе: муниципальных служащих</t>
  </si>
  <si>
    <t>D "Обрабатывающие производства"</t>
  </si>
  <si>
    <t>Е "Производство и распределение электроэнергии, газа и воды"</t>
  </si>
  <si>
    <t>Протяженность автомобильных дорог всего</t>
  </si>
  <si>
    <t xml:space="preserve">    в том числе:</t>
  </si>
  <si>
    <t xml:space="preserve">    общего пользования</t>
  </si>
  <si>
    <t xml:space="preserve">    ведомственные</t>
  </si>
  <si>
    <t>Из общей протяженности автомобильных дорог - дороги с твердым покрытием -всего</t>
  </si>
  <si>
    <t>Производство важнейших видов продукции в натуральном выражении</t>
  </si>
  <si>
    <t>Добыча нефти (включая газовый конденсат)</t>
  </si>
  <si>
    <t>Добыча газа горючего природного (естественного)</t>
  </si>
  <si>
    <t>млн.куб.м</t>
  </si>
  <si>
    <t xml:space="preserve">Производство бензина автомобильного </t>
  </si>
  <si>
    <t>Производство топлива дизельного</t>
  </si>
  <si>
    <t>Производство полиэтилена</t>
  </si>
  <si>
    <t xml:space="preserve">Производство древесины деловой </t>
  </si>
  <si>
    <t>Производство пиломатериала</t>
  </si>
  <si>
    <t>Производство строительного кирпича</t>
  </si>
  <si>
    <t>Производство трикотажных изделий</t>
  </si>
  <si>
    <t>Производство обуви</t>
  </si>
  <si>
    <t>тыс.пар</t>
  </si>
  <si>
    <t>Производство водки и ликеро-водочных изделий</t>
  </si>
  <si>
    <t>тыс.дкл</t>
  </si>
  <si>
    <t>Производство пива</t>
  </si>
  <si>
    <t>Оборот малых предприятий</t>
  </si>
  <si>
    <t>Органы местного самоуправления</t>
  </si>
  <si>
    <t>чел. на 100 жителей</t>
  </si>
  <si>
    <t>Естественный прирост (убыль) на 1000 человек</t>
  </si>
  <si>
    <t>чел.</t>
  </si>
  <si>
    <t>Количество квадратных метров площади, полученной семьями, улучшившими жилищные условия</t>
  </si>
  <si>
    <t>Жилищно - коммунальное хозяйство</t>
  </si>
  <si>
    <t>Число семей, получивших жилые помещения и улучшивших жилищные условия в течение года</t>
  </si>
  <si>
    <t>Выпуск учащихся из государственных дневных полных средних общеобразовательных учреждений</t>
  </si>
  <si>
    <t xml:space="preserve"> Доля стоимости жилищно-коммунальных услуг, оплачиваемая населением</t>
  </si>
  <si>
    <t>2013- факт</t>
  </si>
  <si>
    <t>число мест на 100 детей</t>
  </si>
  <si>
    <t>2012-факт</t>
  </si>
  <si>
    <t>2014- факт</t>
  </si>
  <si>
    <t>2015-оценка</t>
  </si>
  <si>
    <t>Плановый период</t>
  </si>
  <si>
    <t>2016 год</t>
  </si>
  <si>
    <t>2017 год</t>
  </si>
  <si>
    <t>2018 год</t>
  </si>
  <si>
    <r>
      <t>СА</t>
    </r>
    <r>
      <rPr>
        <i/>
        <sz val="11"/>
        <rFont val="Arial Cyr"/>
        <charset val="204"/>
      </rPr>
      <t xml:space="preserve">     Добыча топливно-энергетических полезных ископаемых </t>
    </r>
  </si>
  <si>
    <r>
      <t>СВ</t>
    </r>
    <r>
      <rPr>
        <b/>
        <i/>
        <sz val="11"/>
        <rFont val="Times New Roman Cyr"/>
        <family val="1"/>
        <charset val="204"/>
      </rPr>
      <t xml:space="preserve">   Добыча прочих полезных ископаемых</t>
    </r>
  </si>
  <si>
    <r>
      <t xml:space="preserve">DB  </t>
    </r>
    <r>
      <rPr>
        <b/>
        <i/>
        <sz val="11"/>
        <rFont val="Times New Roman Cyr"/>
        <family val="1"/>
        <charset val="204"/>
      </rPr>
      <t xml:space="preserve"> Текстильное и швейное производство</t>
    </r>
  </si>
  <si>
    <r>
      <t>DC</t>
    </r>
    <r>
      <rPr>
        <b/>
        <i/>
        <sz val="11"/>
        <rFont val="Times New Roman Cyr"/>
        <family val="1"/>
        <charset val="204"/>
      </rPr>
      <t xml:space="preserve">   Производство кожи, производство обуви</t>
    </r>
  </si>
  <si>
    <r>
      <t>DD</t>
    </r>
    <r>
      <rPr>
        <b/>
        <i/>
        <sz val="11"/>
        <rFont val="Times New Roman Cyr"/>
        <family val="1"/>
        <charset val="204"/>
      </rPr>
      <t xml:space="preserve">   Обработка древесины и производство изделий из дерева</t>
    </r>
  </si>
  <si>
    <r>
      <t xml:space="preserve">DE </t>
    </r>
    <r>
      <rPr>
        <b/>
        <i/>
        <sz val="11"/>
        <rFont val="Times New Roman Cyr"/>
        <family val="1"/>
        <charset val="204"/>
      </rPr>
      <t xml:space="preserve">  Целлюлозно-бумажное производство; полиграфическая деятельность</t>
    </r>
  </si>
  <si>
    <r>
      <t>DG</t>
    </r>
    <r>
      <rPr>
        <b/>
        <i/>
        <sz val="11"/>
        <rFont val="Times New Roman Cyr"/>
        <family val="1"/>
        <charset val="204"/>
      </rPr>
      <t xml:space="preserve">   Химическое производство</t>
    </r>
  </si>
  <si>
    <r>
      <t>DH</t>
    </r>
    <r>
      <rPr>
        <b/>
        <i/>
        <sz val="11"/>
        <rFont val="Times New Roman Cyr"/>
        <family val="1"/>
        <charset val="204"/>
      </rPr>
      <t xml:space="preserve">   Производство резиновых и пластмассовых изделий</t>
    </r>
  </si>
  <si>
    <r>
      <t>DI</t>
    </r>
    <r>
      <rPr>
        <b/>
        <i/>
        <sz val="11"/>
        <rFont val="Times New Roman Cyr"/>
        <family val="1"/>
        <charset val="204"/>
      </rPr>
      <t xml:space="preserve">   Производство прочих неметаллических минеральных продуктов</t>
    </r>
  </si>
  <si>
    <r>
      <t>DJ</t>
    </r>
    <r>
      <rPr>
        <b/>
        <i/>
        <sz val="11"/>
        <rFont val="Times New Roman Cyr"/>
        <family val="1"/>
        <charset val="204"/>
      </rPr>
      <t xml:space="preserve">   Производство готовых металлических изделий</t>
    </r>
  </si>
  <si>
    <r>
      <t>DK</t>
    </r>
    <r>
      <rPr>
        <b/>
        <vertAlign val="superscript"/>
        <sz val="11"/>
        <rFont val="Times New Roman Cyr"/>
        <family val="1"/>
        <charset val="204"/>
      </rPr>
      <t>1)</t>
    </r>
    <r>
      <rPr>
        <b/>
        <i/>
        <sz val="11"/>
        <rFont val="Times New Roman Cyr"/>
        <family val="1"/>
        <charset val="204"/>
      </rPr>
      <t xml:space="preserve"> Производство машин и оборудования (без производства оружия и боеприпасов)</t>
    </r>
  </si>
  <si>
    <r>
      <t>DL</t>
    </r>
    <r>
      <rPr>
        <b/>
        <i/>
        <sz val="11"/>
        <rFont val="Times New Roman Cyr"/>
        <family val="1"/>
        <charset val="204"/>
      </rPr>
      <t xml:space="preserve">   Производство электро-, электронного и оптического оборудования </t>
    </r>
  </si>
  <si>
    <r>
      <t>DM</t>
    </r>
    <r>
      <rPr>
        <b/>
        <i/>
        <sz val="11"/>
        <rFont val="Times New Roman Cyr"/>
        <family val="1"/>
        <charset val="204"/>
      </rPr>
      <t xml:space="preserve">   Производство транспортных средств  и оборудования </t>
    </r>
  </si>
  <si>
    <r>
      <t xml:space="preserve">Из общего объема инвестиций  </t>
    </r>
    <r>
      <rPr>
        <sz val="11"/>
        <rFont val="Times New Roman"/>
        <family val="1"/>
        <charset val="204"/>
      </rPr>
      <t>(по крупным и средним предприятиям)</t>
    </r>
    <r>
      <rPr>
        <b/>
        <sz val="11"/>
        <rFont val="Times New Roman"/>
        <family val="1"/>
        <charset val="204"/>
      </rPr>
      <t>:</t>
    </r>
  </si>
  <si>
    <r>
      <t xml:space="preserve">Инвестиции в основной капитал по источникам финансирования </t>
    </r>
    <r>
      <rPr>
        <sz val="11"/>
        <rFont val="Times New Roman CYR"/>
        <family val="1"/>
        <charset val="204"/>
      </rPr>
      <t>(по крупным и средним предприятиям)</t>
    </r>
    <r>
      <rPr>
        <b/>
        <sz val="11"/>
        <rFont val="Times New Roman Cyr"/>
        <family val="1"/>
        <charset val="204"/>
      </rPr>
      <t>:</t>
    </r>
  </si>
  <si>
    <t>Единица измере-ния</t>
  </si>
  <si>
    <r>
      <t xml:space="preserve">DA </t>
    </r>
    <r>
      <rPr>
        <b/>
        <i/>
        <sz val="11"/>
        <rFont val="Times New Roman"/>
        <family val="1"/>
        <charset val="204"/>
      </rPr>
      <t xml:space="preserve">  Производство пищевых продуктов</t>
    </r>
  </si>
  <si>
    <t>Показатели прогноза социально-экономического развития                                                     Колпашевского района  Томской области на 2016-2018 гг.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</si>
</sst>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0.000"/>
    <numFmt numFmtId="166" formatCode="0.0"/>
    <numFmt numFmtId="167" formatCode="#,##0.000"/>
    <numFmt numFmtId="168" formatCode="0.0000"/>
    <numFmt numFmtId="169" formatCode="_-* #,##0.0_р_._-;\-* #,##0.0_р_._-;_-* &quot;-&quot;??_р_._-;_-@_-"/>
    <numFmt numFmtId="170" formatCode="#,##0.000_ ;\-#,##0.000\ "/>
  </numFmts>
  <fonts count="42">
    <font>
      <sz val="10"/>
      <name val="Arial Cyr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 Cyr"/>
      <family val="1"/>
      <charset val="204"/>
    </font>
    <font>
      <b/>
      <sz val="15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name val="Arial Cyr"/>
      <family val="2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 Cyr"/>
      <family val="1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vertAlign val="superscript"/>
      <sz val="11"/>
      <name val="Times New Roman Cyr"/>
      <family val="1"/>
      <charset val="204"/>
    </font>
    <font>
      <sz val="11"/>
      <name val="Times New Roman"/>
      <family val="1"/>
    </font>
    <font>
      <sz val="8"/>
      <name val="Times New Roman CYR"/>
      <family val="1"/>
      <charset val="204"/>
    </font>
    <font>
      <sz val="8"/>
      <name val="Arial Cyr"/>
      <charset val="204"/>
    </font>
    <font>
      <b/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 CYR"/>
      <family val="1"/>
      <charset val="204"/>
    </font>
    <font>
      <sz val="10.5"/>
      <name val="Times New Roman"/>
      <family val="1"/>
      <charset val="204"/>
    </font>
    <font>
      <b/>
      <sz val="10.5"/>
      <name val="Times New Roman Cyr"/>
      <family val="1"/>
      <charset val="204"/>
    </font>
    <font>
      <sz val="8.5"/>
      <name val="Times New Roman Cyr"/>
      <family val="1"/>
      <charset val="204"/>
    </font>
    <font>
      <b/>
      <sz val="9.5"/>
      <name val="Times New Roman Cyr"/>
      <family val="1"/>
      <charset val="204"/>
    </font>
    <font>
      <sz val="9"/>
      <name val="Times New Roman"/>
      <family val="1"/>
    </font>
    <font>
      <sz val="9.5"/>
      <name val="Times New Roman"/>
      <family val="1"/>
    </font>
    <font>
      <sz val="10.5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  <charset val="204"/>
    </font>
    <font>
      <sz val="10.5"/>
      <name val="Times New Roman Cyr"/>
      <charset val="204"/>
    </font>
    <font>
      <sz val="9"/>
      <name val="Times New Roman"/>
      <family val="1"/>
      <charset val="204"/>
    </font>
    <font>
      <sz val="11"/>
      <color theme="3" tint="-0.499984740745262"/>
      <name val="Times New Roman CYR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9" fillId="0" borderId="0" applyFont="0" applyFill="0" applyBorder="0" applyAlignment="0" applyProtection="0"/>
  </cellStyleXfs>
  <cellXfs count="242">
    <xf numFmtId="0" fontId="0" fillId="0" borderId="0" xfId="0"/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6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" fillId="5" borderId="0" xfId="0" applyNumberFormat="1" applyFont="1" applyFill="1" applyBorder="1" applyAlignment="1" applyProtection="1">
      <alignment vertical="top"/>
    </xf>
    <xf numFmtId="49" fontId="2" fillId="5" borderId="0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0" fillId="5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1" fillId="0" borderId="0" xfId="0" applyFont="1" applyFill="1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/>
    </xf>
    <xf numFmtId="168" fontId="0" fillId="0" borderId="0" xfId="0" applyNumberFormat="1" applyFont="1"/>
    <xf numFmtId="166" fontId="0" fillId="0" borderId="0" xfId="0" applyNumberFormat="1" applyFont="1" applyFill="1" applyBorder="1"/>
    <xf numFmtId="0" fontId="0" fillId="0" borderId="0" xfId="0" applyFont="1" applyFill="1"/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Fill="1" applyAlignment="1">
      <alignment horizontal="left" vertical="center" indent="6"/>
    </xf>
    <xf numFmtId="0" fontId="0" fillId="5" borderId="0" xfId="0" applyFont="1" applyFill="1" applyBorder="1"/>
    <xf numFmtId="0" fontId="0" fillId="0" borderId="0" xfId="0" applyFont="1" applyBorder="1"/>
    <xf numFmtId="0" fontId="8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49" fontId="10" fillId="5" borderId="1" xfId="0" applyNumberFormat="1" applyFont="1" applyFill="1" applyBorder="1" applyAlignment="1" applyProtection="1">
      <alignment horizontal="left" vertical="center" wrapText="1"/>
    </xf>
    <xf numFmtId="164" fontId="10" fillId="8" borderId="1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 applyProtection="1">
      <alignment horizontal="center" vertical="center"/>
    </xf>
    <xf numFmtId="164" fontId="10" fillId="6" borderId="1" xfId="0" applyNumberFormat="1" applyFont="1" applyFill="1" applyBorder="1" applyAlignment="1" applyProtection="1">
      <alignment horizontal="center" vertical="center"/>
    </xf>
    <xf numFmtId="164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167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left" vertical="center" wrapText="1"/>
    </xf>
    <xf numFmtId="165" fontId="10" fillId="0" borderId="1" xfId="0" applyNumberFormat="1" applyFont="1" applyFill="1" applyBorder="1" applyAlignment="1" applyProtection="1">
      <alignment vertical="center"/>
    </xf>
    <xf numFmtId="165" fontId="10" fillId="0" borderId="1" xfId="0" applyNumberFormat="1" applyFont="1" applyFill="1" applyBorder="1" applyAlignment="1" applyProtection="1">
      <alignment vertical="center" wrapText="1"/>
    </xf>
    <xf numFmtId="165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vertical="top"/>
    </xf>
    <xf numFmtId="165" fontId="10" fillId="0" borderId="1" xfId="0" applyNumberFormat="1" applyFont="1" applyFill="1" applyBorder="1" applyAlignment="1" applyProtection="1">
      <alignment horizontal="left" vertical="center" wrapText="1" indent="4"/>
    </xf>
    <xf numFmtId="165" fontId="13" fillId="0" borderId="1" xfId="0" applyNumberFormat="1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 applyAlignment="1" applyProtection="1">
      <alignment horizontal="center" vertical="center"/>
    </xf>
    <xf numFmtId="164" fontId="21" fillId="6" borderId="1" xfId="0" applyNumberFormat="1" applyFont="1" applyFill="1" applyBorder="1" applyAlignment="1" applyProtection="1">
      <alignment horizontal="center" vertical="center"/>
    </xf>
    <xf numFmtId="164" fontId="16" fillId="6" borderId="1" xfId="0" applyNumberFormat="1" applyFont="1" applyFill="1" applyBorder="1" applyAlignment="1">
      <alignment horizontal="center" vertical="center"/>
    </xf>
    <xf numFmtId="165" fontId="10" fillId="8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165" fontId="19" fillId="5" borderId="1" xfId="0" applyNumberFormat="1" applyFont="1" applyFill="1" applyBorder="1" applyAlignment="1" applyProtection="1">
      <alignment horizontal="center" vertical="center"/>
    </xf>
    <xf numFmtId="0" fontId="10" fillId="8" borderId="1" xfId="0" applyNumberFormat="1" applyFont="1" applyFill="1" applyBorder="1" applyAlignment="1" applyProtection="1">
      <alignment horizontal="center" vertical="center"/>
    </xf>
    <xf numFmtId="166" fontId="10" fillId="8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wrapText="1"/>
    </xf>
    <xf numFmtId="0" fontId="22" fillId="5" borderId="1" xfId="0" applyNumberFormat="1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wrapText="1"/>
    </xf>
    <xf numFmtId="165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0" fontId="22" fillId="5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165" fontId="29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top"/>
    </xf>
    <xf numFmtId="164" fontId="31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center" vertical="top"/>
    </xf>
    <xf numFmtId="164" fontId="31" fillId="0" borderId="1" xfId="0" applyNumberFormat="1" applyFont="1" applyFill="1" applyBorder="1" applyAlignment="1" applyProtection="1">
      <alignment horizontal="right"/>
    </xf>
    <xf numFmtId="164" fontId="29" fillId="0" borderId="1" xfId="0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vertical="center" wrapText="1"/>
    </xf>
    <xf numFmtId="49" fontId="15" fillId="0" borderId="5" xfId="0" applyNumberFormat="1" applyFont="1" applyFill="1" applyBorder="1" applyAlignment="1" applyProtection="1">
      <alignment vertical="center" wrapText="1"/>
    </xf>
    <xf numFmtId="164" fontId="32" fillId="0" borderId="1" xfId="0" applyNumberFormat="1" applyFont="1" applyFill="1" applyBorder="1" applyAlignment="1" applyProtection="1">
      <alignment horizontal="center" vertical="center"/>
    </xf>
    <xf numFmtId="164" fontId="22" fillId="5" borderId="1" xfId="0" applyNumberFormat="1" applyFont="1" applyFill="1" applyBorder="1" applyAlignment="1" applyProtection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 applyProtection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35" fillId="0" borderId="1" xfId="0" applyNumberFormat="1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 applyProtection="1">
      <alignment horizontal="center" vertical="center"/>
    </xf>
    <xf numFmtId="167" fontId="30" fillId="5" borderId="1" xfId="0" applyNumberFormat="1" applyFont="1" applyFill="1" applyBorder="1" applyAlignment="1" applyProtection="1">
      <alignment horizontal="center" vertical="center"/>
    </xf>
    <xf numFmtId="0" fontId="30" fillId="5" borderId="1" xfId="0" applyNumberFormat="1" applyFont="1" applyFill="1" applyBorder="1" applyAlignment="1" applyProtection="1">
      <alignment horizontal="center" vertical="center"/>
    </xf>
    <xf numFmtId="0" fontId="30" fillId="8" borderId="1" xfId="0" applyNumberFormat="1" applyFont="1" applyFill="1" applyBorder="1" applyAlignment="1" applyProtection="1">
      <alignment horizontal="center" vertical="center"/>
    </xf>
    <xf numFmtId="0" fontId="29" fillId="8" borderId="1" xfId="0" applyNumberFormat="1" applyFont="1" applyFill="1" applyBorder="1" applyAlignment="1" applyProtection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166" fontId="29" fillId="8" borderId="1" xfId="0" applyNumberFormat="1" applyFont="1" applyFill="1" applyBorder="1" applyAlignment="1" applyProtection="1">
      <alignment horizontal="center" vertical="center"/>
    </xf>
    <xf numFmtId="0" fontId="29" fillId="8" borderId="1" xfId="0" applyNumberFormat="1" applyFont="1" applyFill="1" applyBorder="1" applyAlignment="1" applyProtection="1">
      <alignment horizontal="right" vertical="center"/>
    </xf>
    <xf numFmtId="0" fontId="29" fillId="8" borderId="1" xfId="0" applyNumberFormat="1" applyFont="1" applyFill="1" applyBorder="1" applyAlignment="1" applyProtection="1">
      <alignment vertical="center"/>
    </xf>
    <xf numFmtId="164" fontId="29" fillId="0" borderId="1" xfId="0" applyNumberFormat="1" applyFont="1" applyFill="1" applyBorder="1" applyAlignment="1" applyProtection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 applyProtection="1">
      <alignment horizontal="center" vertical="center"/>
    </xf>
    <xf numFmtId="2" fontId="29" fillId="0" borderId="1" xfId="0" applyNumberFormat="1" applyFont="1" applyFill="1" applyBorder="1" applyAlignment="1" applyProtection="1">
      <alignment horizontal="center" vertical="center"/>
    </xf>
    <xf numFmtId="165" fontId="29" fillId="5" borderId="1" xfId="0" applyNumberFormat="1" applyFont="1" applyFill="1" applyBorder="1" applyAlignment="1" applyProtection="1">
      <alignment horizontal="center" vertical="center"/>
    </xf>
    <xf numFmtId="165" fontId="29" fillId="8" borderId="1" xfId="0" applyNumberFormat="1" applyFont="1" applyFill="1" applyBorder="1" applyAlignment="1" applyProtection="1">
      <alignment horizontal="center" vertical="center"/>
    </xf>
    <xf numFmtId="3" fontId="29" fillId="5" borderId="1" xfId="0" applyNumberFormat="1" applyFont="1" applyFill="1" applyBorder="1" applyAlignment="1" applyProtection="1">
      <alignment horizontal="center" vertical="center"/>
    </xf>
    <xf numFmtId="164" fontId="29" fillId="5" borderId="1" xfId="0" applyNumberFormat="1" applyFont="1" applyFill="1" applyBorder="1" applyAlignment="1" applyProtection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8" borderId="1" xfId="0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 applyProtection="1">
      <alignment horizontal="center" vertical="center"/>
    </xf>
    <xf numFmtId="164" fontId="36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0" fontId="29" fillId="5" borderId="1" xfId="0" applyNumberFormat="1" applyFont="1" applyFill="1" applyBorder="1" applyAlignment="1" applyProtection="1">
      <alignment horizontal="center" vertical="center"/>
    </xf>
    <xf numFmtId="164" fontId="29" fillId="0" borderId="1" xfId="0" applyNumberFormat="1" applyFont="1" applyFill="1" applyBorder="1" applyAlignment="1" applyProtection="1">
      <alignment horizontal="center" vertical="top"/>
    </xf>
    <xf numFmtId="164" fontId="30" fillId="0" borderId="1" xfId="0" applyNumberFormat="1" applyFont="1" applyFill="1" applyBorder="1" applyAlignment="1">
      <alignment horizontal="center" vertical="top"/>
    </xf>
    <xf numFmtId="164" fontId="38" fillId="0" borderId="1" xfId="0" applyNumberFormat="1" applyFont="1" applyFill="1" applyBorder="1" applyAlignment="1">
      <alignment horizontal="center" vertical="center"/>
    </xf>
    <xf numFmtId="166" fontId="39" fillId="0" borderId="1" xfId="0" applyNumberFormat="1" applyFont="1" applyFill="1" applyBorder="1" applyAlignment="1">
      <alignment horizontal="center" vertical="center"/>
    </xf>
    <xf numFmtId="166" fontId="30" fillId="0" borderId="1" xfId="0" applyNumberFormat="1" applyFont="1" applyFill="1" applyBorder="1" applyAlignment="1">
      <alignment horizontal="center" vertical="center"/>
    </xf>
    <xf numFmtId="166" fontId="29" fillId="0" borderId="1" xfId="0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166" fontId="29" fillId="0" borderId="1" xfId="0" applyNumberFormat="1" applyFont="1" applyFill="1" applyBorder="1" applyAlignment="1" applyProtection="1">
      <alignment vertical="top"/>
    </xf>
    <xf numFmtId="0" fontId="29" fillId="0" borderId="1" xfId="0" applyNumberFormat="1" applyFont="1" applyFill="1" applyBorder="1" applyAlignment="1" applyProtection="1">
      <alignment vertical="top"/>
    </xf>
    <xf numFmtId="166" fontId="39" fillId="0" borderId="1" xfId="0" applyNumberFormat="1" applyFont="1" applyFill="1" applyBorder="1" applyAlignment="1" applyProtection="1">
      <alignment horizontal="center" vertical="center"/>
    </xf>
    <xf numFmtId="166" fontId="30" fillId="0" borderId="1" xfId="0" applyNumberFormat="1" applyFont="1" applyFill="1" applyBorder="1" applyAlignment="1" applyProtection="1">
      <alignment horizontal="center" vertical="center"/>
    </xf>
    <xf numFmtId="3" fontId="6" fillId="8" borderId="1" xfId="0" applyNumberFormat="1" applyFont="1" applyFill="1" applyBorder="1" applyAlignment="1" applyProtection="1">
      <alignment horizontal="center" vertical="center"/>
    </xf>
    <xf numFmtId="164" fontId="6" fillId="8" borderId="1" xfId="0" applyNumberFormat="1" applyFont="1" applyFill="1" applyBorder="1" applyAlignment="1" applyProtection="1">
      <alignment horizontal="center" vertical="center"/>
    </xf>
    <xf numFmtId="164" fontId="3" fillId="8" borderId="1" xfId="0" applyNumberFormat="1" applyFont="1" applyFill="1" applyBorder="1" applyAlignment="1" applyProtection="1">
      <alignment horizontal="center" vertical="center"/>
    </xf>
    <xf numFmtId="169" fontId="3" fillId="8" borderId="1" xfId="2" applyNumberFormat="1" applyFont="1" applyFill="1" applyBorder="1" applyAlignment="1" applyProtection="1">
      <alignment horizontal="center" vertical="center"/>
    </xf>
    <xf numFmtId="49" fontId="2" fillId="8" borderId="1" xfId="0" applyNumberFormat="1" applyFont="1" applyFill="1" applyBorder="1" applyAlignment="1" applyProtection="1">
      <alignment horizontal="center" vertical="center"/>
    </xf>
    <xf numFmtId="167" fontId="3" fillId="8" borderId="1" xfId="0" applyNumberFormat="1" applyFont="1" applyFill="1" applyBorder="1" applyAlignment="1" applyProtection="1">
      <alignment horizontal="center" vertical="center"/>
    </xf>
    <xf numFmtId="170" fontId="3" fillId="8" borderId="1" xfId="2" applyNumberFormat="1" applyFont="1" applyFill="1" applyBorder="1" applyAlignment="1" applyProtection="1">
      <alignment horizontal="center" vertical="center"/>
    </xf>
    <xf numFmtId="0" fontId="1" fillId="8" borderId="0" xfId="0" applyNumberFormat="1" applyFont="1" applyFill="1" applyBorder="1" applyAlignment="1" applyProtection="1">
      <alignment vertical="top"/>
    </xf>
    <xf numFmtId="164" fontId="14" fillId="8" borderId="1" xfId="0" applyNumberFormat="1" applyFont="1" applyFill="1" applyBorder="1" applyAlignment="1">
      <alignment horizontal="center" vertical="center"/>
    </xf>
    <xf numFmtId="164" fontId="19" fillId="8" borderId="1" xfId="1" applyNumberFormat="1" applyFont="1" applyFill="1" applyBorder="1" applyAlignment="1" applyProtection="1">
      <alignment horizontal="center" vertical="center"/>
    </xf>
    <xf numFmtId="164" fontId="19" fillId="8" borderId="1" xfId="0" applyNumberFormat="1" applyFont="1" applyFill="1" applyBorder="1" applyAlignment="1" applyProtection="1">
      <alignment horizontal="center" vertical="center"/>
    </xf>
    <xf numFmtId="164" fontId="29" fillId="8" borderId="1" xfId="0" applyNumberFormat="1" applyFont="1" applyFill="1" applyBorder="1" applyAlignment="1" applyProtection="1">
      <alignment horizontal="center" vertical="center"/>
    </xf>
    <xf numFmtId="164" fontId="8" fillId="8" borderId="1" xfId="0" applyNumberFormat="1" applyFont="1" applyFill="1" applyBorder="1" applyAlignment="1" applyProtection="1">
      <alignment horizontal="center" vertical="center"/>
    </xf>
    <xf numFmtId="167" fontId="10" fillId="8" borderId="1" xfId="0" applyNumberFormat="1" applyFont="1" applyFill="1" applyBorder="1" applyAlignment="1" applyProtection="1">
      <alignment horizontal="center" vertical="center"/>
    </xf>
    <xf numFmtId="164" fontId="31" fillId="8" borderId="1" xfId="0" applyNumberFormat="1" applyFont="1" applyFill="1" applyBorder="1" applyAlignment="1" applyProtection="1">
      <alignment horizontal="center" vertical="center"/>
    </xf>
    <xf numFmtId="164" fontId="31" fillId="8" borderId="1" xfId="0" applyNumberFormat="1" applyFont="1" applyFill="1" applyBorder="1" applyAlignment="1" applyProtection="1">
      <alignment horizontal="right"/>
    </xf>
    <xf numFmtId="165" fontId="10" fillId="8" borderId="1" xfId="0" applyNumberFormat="1" applyFont="1" applyFill="1" applyBorder="1" applyAlignment="1" applyProtection="1">
      <alignment vertical="center"/>
    </xf>
    <xf numFmtId="166" fontId="29" fillId="8" borderId="1" xfId="0" applyNumberFormat="1" applyFont="1" applyFill="1" applyBorder="1" applyAlignment="1" applyProtection="1">
      <alignment vertical="top"/>
    </xf>
    <xf numFmtId="166" fontId="39" fillId="8" borderId="1" xfId="0" applyNumberFormat="1" applyFont="1" applyFill="1" applyBorder="1" applyAlignment="1" applyProtection="1">
      <alignment horizontal="center" vertical="center"/>
    </xf>
    <xf numFmtId="166" fontId="29" fillId="8" borderId="1" xfId="0" applyNumberFormat="1" applyFont="1" applyFill="1" applyBorder="1" applyAlignment="1">
      <alignment horizontal="center" vertical="center"/>
    </xf>
    <xf numFmtId="164" fontId="37" fillId="8" borderId="1" xfId="0" applyNumberFormat="1" applyFont="1" applyFill="1" applyBorder="1" applyAlignment="1">
      <alignment horizontal="center" vertical="center"/>
    </xf>
    <xf numFmtId="166" fontId="10" fillId="8" borderId="1" xfId="0" applyNumberFormat="1" applyFont="1" applyFill="1" applyBorder="1" applyAlignment="1">
      <alignment horizontal="center" vertical="center"/>
    </xf>
    <xf numFmtId="166" fontId="39" fillId="8" borderId="1" xfId="0" applyNumberFormat="1" applyFont="1" applyFill="1" applyBorder="1" applyAlignment="1">
      <alignment horizontal="center" vertical="center"/>
    </xf>
    <xf numFmtId="164" fontId="29" fillId="8" borderId="1" xfId="0" applyNumberFormat="1" applyFont="1" applyFill="1" applyBorder="1" applyAlignment="1" applyProtection="1">
      <alignment horizontal="center" vertical="top"/>
    </xf>
    <xf numFmtId="164" fontId="37" fillId="8" borderId="1" xfId="0" applyNumberFormat="1" applyFont="1" applyFill="1" applyBorder="1" applyAlignment="1" applyProtection="1">
      <alignment horizontal="center" vertical="center"/>
    </xf>
    <xf numFmtId="164" fontId="30" fillId="8" borderId="1" xfId="0" applyNumberFormat="1" applyFont="1" applyFill="1" applyBorder="1" applyAlignment="1" applyProtection="1">
      <alignment horizontal="center" vertical="center"/>
    </xf>
    <xf numFmtId="164" fontId="30" fillId="8" borderId="1" xfId="0" applyNumberFormat="1" applyFont="1" applyFill="1" applyBorder="1" applyAlignment="1">
      <alignment horizontal="center" vertical="center"/>
    </xf>
    <xf numFmtId="164" fontId="21" fillId="8" borderId="1" xfId="0" applyNumberFormat="1" applyFont="1" applyFill="1" applyBorder="1" applyAlignment="1" applyProtection="1">
      <alignment horizontal="center" vertical="center"/>
    </xf>
    <xf numFmtId="3" fontId="29" fillId="8" borderId="1" xfId="0" applyNumberFormat="1" applyFont="1" applyFill="1" applyBorder="1" applyAlignment="1" applyProtection="1">
      <alignment horizontal="center" vertical="center"/>
    </xf>
    <xf numFmtId="164" fontId="22" fillId="8" borderId="1" xfId="0" applyNumberFormat="1" applyFont="1" applyFill="1" applyBorder="1" applyAlignment="1" applyProtection="1">
      <alignment horizontal="center" vertical="center"/>
    </xf>
    <xf numFmtId="164" fontId="32" fillId="8" borderId="1" xfId="0" applyNumberFormat="1" applyFont="1" applyFill="1" applyBorder="1" applyAlignment="1" applyProtection="1">
      <alignment horizontal="center" vertical="center"/>
    </xf>
    <xf numFmtId="0" fontId="19" fillId="8" borderId="1" xfId="0" applyNumberFormat="1" applyFont="1" applyFill="1" applyBorder="1" applyAlignment="1" applyProtection="1">
      <alignment horizontal="center" vertical="center"/>
    </xf>
    <xf numFmtId="165" fontId="19" fillId="8" borderId="1" xfId="0" applyNumberFormat="1" applyFont="1" applyFill="1" applyBorder="1" applyAlignment="1" applyProtection="1">
      <alignment horizontal="center" vertical="center"/>
    </xf>
    <xf numFmtId="0" fontId="10" fillId="8" borderId="1" xfId="0" applyNumberFormat="1" applyFont="1" applyFill="1" applyBorder="1" applyAlignment="1" applyProtection="1">
      <alignment vertical="top"/>
    </xf>
    <xf numFmtId="164" fontId="29" fillId="8" borderId="1" xfId="0" applyNumberFormat="1" applyFont="1" applyFill="1" applyBorder="1" applyAlignment="1" applyProtection="1">
      <alignment horizontal="center" vertical="center" wrapText="1"/>
    </xf>
    <xf numFmtId="2" fontId="29" fillId="8" borderId="1" xfId="0" applyNumberFormat="1" applyFont="1" applyFill="1" applyBorder="1" applyAlignment="1" applyProtection="1">
      <alignment horizontal="center" vertical="center"/>
    </xf>
    <xf numFmtId="167" fontId="30" fillId="8" borderId="1" xfId="0" applyNumberFormat="1" applyFont="1" applyFill="1" applyBorder="1" applyAlignment="1" applyProtection="1">
      <alignment horizontal="center" vertical="center"/>
    </xf>
    <xf numFmtId="3" fontId="35" fillId="8" borderId="1" xfId="0" applyNumberFormat="1" applyFont="1" applyFill="1" applyBorder="1" applyAlignment="1" applyProtection="1">
      <alignment horizontal="center" vertical="center"/>
    </xf>
    <xf numFmtId="3" fontId="34" fillId="8" borderId="1" xfId="0" applyNumberFormat="1" applyFont="1" applyFill="1" applyBorder="1" applyAlignment="1">
      <alignment horizontal="center" vertical="center"/>
    </xf>
    <xf numFmtId="3" fontId="35" fillId="8" borderId="1" xfId="0" applyNumberFormat="1" applyFont="1" applyFill="1" applyBorder="1" applyAlignment="1">
      <alignment horizontal="center" vertical="center"/>
    </xf>
    <xf numFmtId="166" fontId="6" fillId="8" borderId="1" xfId="0" applyNumberFormat="1" applyFont="1" applyFill="1" applyBorder="1" applyAlignment="1" applyProtection="1">
      <alignment horizontal="center" vertical="center"/>
    </xf>
    <xf numFmtId="49" fontId="2" fillId="8" borderId="0" xfId="0" applyNumberFormat="1" applyFont="1" applyFill="1" applyBorder="1" applyAlignment="1" applyProtection="1">
      <alignment horizontal="center" vertical="center"/>
    </xf>
    <xf numFmtId="166" fontId="3" fillId="8" borderId="1" xfId="0" applyNumberFormat="1" applyFont="1" applyFill="1" applyBorder="1" applyAlignment="1" applyProtection="1">
      <alignment horizontal="center" vertical="center"/>
    </xf>
    <xf numFmtId="166" fontId="3" fillId="8" borderId="1" xfId="2" applyNumberFormat="1" applyFont="1" applyFill="1" applyBorder="1" applyAlignment="1" applyProtection="1">
      <alignment horizontal="center" vertical="center"/>
    </xf>
    <xf numFmtId="166" fontId="40" fillId="8" borderId="1" xfId="2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165" fontId="22" fillId="0" borderId="2" xfId="0" applyNumberFormat="1" applyFont="1" applyFill="1" applyBorder="1" applyAlignment="1" applyProtection="1">
      <alignment horizontal="center" vertical="center" wrapText="1"/>
    </xf>
    <xf numFmtId="166" fontId="10" fillId="8" borderId="2" xfId="0" applyNumberFormat="1" applyFont="1" applyFill="1" applyBorder="1" applyAlignment="1" applyProtection="1">
      <alignment horizontal="center" vertical="center"/>
    </xf>
    <xf numFmtId="166" fontId="10" fillId="0" borderId="2" xfId="0" applyNumberFormat="1" applyFont="1" applyFill="1" applyBorder="1" applyAlignment="1" applyProtection="1">
      <alignment horizontal="center" vertical="center"/>
    </xf>
    <xf numFmtId="165" fontId="8" fillId="0" borderId="3" xfId="0" applyNumberFormat="1" applyFont="1" applyFill="1" applyBorder="1" applyAlignment="1" applyProtection="1">
      <alignment vertical="center" wrapText="1"/>
    </xf>
    <xf numFmtId="165" fontId="22" fillId="0" borderId="3" xfId="0" applyNumberFormat="1" applyFont="1" applyFill="1" applyBorder="1" applyAlignment="1" applyProtection="1">
      <alignment horizontal="center" vertical="center" wrapText="1"/>
    </xf>
    <xf numFmtId="165" fontId="10" fillId="8" borderId="3" xfId="0" applyNumberFormat="1" applyFont="1" applyFill="1" applyBorder="1" applyAlignment="1" applyProtection="1">
      <alignment horizontal="center" vertic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66" fontId="41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left" vertical="center" wrapText="1"/>
    </xf>
    <xf numFmtId="165" fontId="10" fillId="0" borderId="3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13" fillId="5" borderId="4" xfId="0" applyNumberFormat="1" applyFont="1" applyFill="1" applyBorder="1" applyAlignment="1" applyProtection="1">
      <alignment horizontal="left" vertical="center" wrapText="1"/>
    </xf>
    <xf numFmtId="49" fontId="13" fillId="5" borderId="5" xfId="0" applyNumberFormat="1" applyFont="1" applyFill="1" applyBorder="1" applyAlignment="1" applyProtection="1">
      <alignment horizontal="left" vertical="center" wrapText="1"/>
    </xf>
    <xf numFmtId="165" fontId="10" fillId="0" borderId="6" xfId="0" applyNumberFormat="1" applyFont="1" applyFill="1" applyBorder="1" applyAlignment="1" applyProtection="1">
      <alignment horizontal="left" vertical="center" wrapText="1"/>
    </xf>
    <xf numFmtId="165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8" borderId="1" xfId="0" applyNumberFormat="1" applyFont="1" applyFill="1" applyBorder="1" applyAlignment="1" applyProtection="1">
      <alignment horizontal="center" vertical="center" wrapText="1"/>
    </xf>
    <xf numFmtId="49" fontId="8" fillId="7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165" fontId="8" fillId="0" borderId="2" xfId="0" applyNumberFormat="1" applyFont="1" applyFill="1" applyBorder="1" applyAlignment="1" applyProtection="1">
      <alignment horizontal="left" vertical="center" wrapText="1"/>
    </xf>
    <xf numFmtId="165" fontId="8" fillId="0" borderId="3" xfId="0" applyNumberFormat="1" applyFont="1" applyFill="1" applyBorder="1" applyAlignment="1" applyProtection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6"/>
  <sheetViews>
    <sheetView tabSelected="1" view="pageBreakPreview" zoomScaleSheetLayoutView="100" workbookViewId="0">
      <pane ySplit="4" topLeftCell="A6" activePane="bottomLeft" state="frozen"/>
      <selection pane="bottomLeft" activeCell="F8" sqref="F8"/>
    </sheetView>
  </sheetViews>
  <sheetFormatPr defaultRowHeight="15.75"/>
  <cols>
    <col min="1" max="1" width="34.5703125" style="1" customWidth="1"/>
    <col min="2" max="2" width="7.42578125" style="2" customWidth="1"/>
    <col min="3" max="4" width="9" style="11" customWidth="1"/>
    <col min="5" max="5" width="8.42578125" style="170" customWidth="1"/>
    <col min="6" max="6" width="8.5703125" style="11" customWidth="1"/>
    <col min="7" max="7" width="8.85546875" style="16" customWidth="1"/>
    <col min="8" max="8" width="9" style="16" customWidth="1"/>
    <col min="9" max="9" width="8.85546875" style="16" customWidth="1"/>
    <col min="10" max="16384" width="9.140625" style="17"/>
  </cols>
  <sheetData>
    <row r="1" spans="1:9" ht="45" customHeight="1">
      <c r="A1" s="234" t="s">
        <v>272</v>
      </c>
      <c r="B1" s="234"/>
      <c r="C1" s="234"/>
      <c r="D1" s="234"/>
      <c r="E1" s="234"/>
      <c r="F1" s="234"/>
      <c r="G1" s="234"/>
      <c r="H1" s="234"/>
      <c r="I1" s="234"/>
    </row>
    <row r="2" spans="1:9" ht="19.899999999999999" hidden="1" customHeight="1" thickBot="1"/>
    <row r="3" spans="1:9" s="18" customFormat="1" ht="24" customHeight="1">
      <c r="A3" s="231" t="s">
        <v>0</v>
      </c>
      <c r="B3" s="232" t="s">
        <v>270</v>
      </c>
      <c r="C3" s="233" t="s">
        <v>248</v>
      </c>
      <c r="D3" s="233" t="s">
        <v>246</v>
      </c>
      <c r="E3" s="235" t="s">
        <v>249</v>
      </c>
      <c r="F3" s="233" t="s">
        <v>250</v>
      </c>
      <c r="G3" s="237" t="s">
        <v>251</v>
      </c>
      <c r="H3" s="237"/>
      <c r="I3" s="237"/>
    </row>
    <row r="4" spans="1:9" s="18" customFormat="1" ht="21" customHeight="1">
      <c r="A4" s="231"/>
      <c r="B4" s="232"/>
      <c r="C4" s="233"/>
      <c r="D4" s="233"/>
      <c r="E4" s="235"/>
      <c r="F4" s="233"/>
      <c r="G4" s="208" t="s">
        <v>252</v>
      </c>
      <c r="H4" s="208" t="s">
        <v>253</v>
      </c>
      <c r="I4" s="208" t="s">
        <v>254</v>
      </c>
    </row>
    <row r="5" spans="1:9" s="19" customFormat="1" ht="21" customHeight="1">
      <c r="A5" s="236" t="s">
        <v>100</v>
      </c>
      <c r="B5" s="236"/>
      <c r="C5" s="236"/>
      <c r="D5" s="236"/>
      <c r="E5" s="236"/>
      <c r="F5" s="236"/>
      <c r="G5" s="236"/>
      <c r="H5" s="236"/>
      <c r="I5" s="236"/>
    </row>
    <row r="6" spans="1:9" s="20" customFormat="1" ht="73.5" customHeight="1">
      <c r="A6" s="35" t="s">
        <v>201</v>
      </c>
      <c r="B6" s="91" t="s">
        <v>2</v>
      </c>
      <c r="C6" s="13">
        <f>C23+C88</f>
        <v>1075.5</v>
      </c>
      <c r="D6" s="13">
        <f>D10+D23+D88</f>
        <v>1265.8000000000002</v>
      </c>
      <c r="E6" s="42">
        <f>E10+E23+E88</f>
        <v>1277.3000000000002</v>
      </c>
      <c r="F6" s="13">
        <f t="shared" ref="F6:I6" si="0">F10+F23+F88</f>
        <v>1333.9</v>
      </c>
      <c r="G6" s="13">
        <f t="shared" si="0"/>
        <v>1424.9</v>
      </c>
      <c r="H6" s="13">
        <f t="shared" si="0"/>
        <v>1503.5</v>
      </c>
      <c r="I6" s="13">
        <f t="shared" si="0"/>
        <v>1537.8</v>
      </c>
    </row>
    <row r="7" spans="1:9" s="20" customFormat="1" ht="28.5" customHeight="1">
      <c r="A7" s="36" t="s">
        <v>202</v>
      </c>
      <c r="B7" s="91" t="s">
        <v>4</v>
      </c>
      <c r="C7" s="13">
        <v>113.8</v>
      </c>
      <c r="D7" s="13">
        <f>D6/1.063/C6*100</f>
        <v>110.71881069558759</v>
      </c>
      <c r="E7" s="42">
        <f>E6/1.071*100/D6</f>
        <v>94.218969517548416</v>
      </c>
      <c r="F7" s="13">
        <f>F6/1.164/E6*100</f>
        <v>89.717544767299373</v>
      </c>
      <c r="G7" s="13">
        <f>G6/1.101/F6*100</f>
        <v>97.022798008394119</v>
      </c>
      <c r="H7" s="13">
        <f>H6/1.08/G6*100</f>
        <v>97.700163494254298</v>
      </c>
      <c r="I7" s="13">
        <f>I6/1.056*100/H6</f>
        <v>96.857332889923512</v>
      </c>
    </row>
    <row r="8" spans="1:9" s="20" customFormat="1" ht="30">
      <c r="A8" s="37" t="s">
        <v>203</v>
      </c>
      <c r="B8" s="91"/>
      <c r="C8" s="38"/>
      <c r="D8" s="38"/>
      <c r="E8" s="171"/>
      <c r="F8" s="38"/>
      <c r="G8" s="38"/>
      <c r="H8" s="38"/>
      <c r="I8" s="114"/>
    </row>
    <row r="9" spans="1:9" ht="29.25" customHeight="1">
      <c r="A9" s="39" t="s">
        <v>204</v>
      </c>
      <c r="B9" s="92"/>
      <c r="C9" s="13"/>
      <c r="D9" s="13"/>
      <c r="E9" s="42"/>
      <c r="F9" s="13"/>
      <c r="G9" s="13"/>
      <c r="H9" s="13"/>
      <c r="I9" s="44"/>
    </row>
    <row r="10" spans="1:9" ht="23.25" customHeight="1">
      <c r="A10" s="41" t="s">
        <v>1</v>
      </c>
      <c r="B10" s="91" t="s">
        <v>2</v>
      </c>
      <c r="C10" s="13">
        <v>0</v>
      </c>
      <c r="D10" s="42">
        <v>140.30000000000001</v>
      </c>
      <c r="E10" s="42">
        <v>13.9</v>
      </c>
      <c r="F10" s="13">
        <v>0</v>
      </c>
      <c r="G10" s="13">
        <v>0</v>
      </c>
      <c r="H10" s="13">
        <v>0</v>
      </c>
      <c r="I10" s="13">
        <v>0</v>
      </c>
    </row>
    <row r="11" spans="1:9" ht="21.75" customHeight="1">
      <c r="A11" s="41" t="s">
        <v>205</v>
      </c>
      <c r="B11" s="91" t="s">
        <v>4</v>
      </c>
      <c r="C11" s="13"/>
      <c r="D11" s="42"/>
      <c r="E11" s="42">
        <f>E10/1.097*100/D10</f>
        <v>9.0313048416240491</v>
      </c>
      <c r="F11" s="13"/>
      <c r="G11" s="13"/>
      <c r="H11" s="13"/>
      <c r="I11" s="44"/>
    </row>
    <row r="12" spans="1:9" s="5" customFormat="1" ht="15.75" customHeight="1">
      <c r="A12" s="41" t="s">
        <v>206</v>
      </c>
      <c r="B12" s="91" t="s">
        <v>5</v>
      </c>
      <c r="C12" s="13">
        <v>0</v>
      </c>
      <c r="D12" s="42">
        <f>D10/D6*100</f>
        <v>11.083899510191182</v>
      </c>
      <c r="E12" s="42">
        <f>E10/E6*100</f>
        <v>1.0882329914663742</v>
      </c>
      <c r="F12" s="13">
        <f t="shared" ref="F12:I12" si="1">F10/F6*100</f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</row>
    <row r="13" spans="1:9" s="21" customFormat="1" ht="15.75" customHeight="1">
      <c r="A13" s="43" t="s">
        <v>83</v>
      </c>
      <c r="B13" s="91"/>
      <c r="C13" s="13"/>
      <c r="D13" s="42"/>
      <c r="E13" s="42"/>
      <c r="F13" s="13"/>
      <c r="G13" s="13"/>
      <c r="H13" s="13"/>
      <c r="I13" s="44"/>
    </row>
    <row r="14" spans="1:9" s="21" customFormat="1" ht="31.5" hidden="1" customHeight="1">
      <c r="A14" s="45" t="s">
        <v>255</v>
      </c>
      <c r="B14" s="93"/>
      <c r="C14" s="13"/>
      <c r="D14" s="42"/>
      <c r="E14" s="42"/>
      <c r="F14" s="13"/>
      <c r="G14" s="13"/>
      <c r="H14" s="13"/>
      <c r="I14" s="44"/>
    </row>
    <row r="15" spans="1:9" ht="15.75" hidden="1" customHeight="1">
      <c r="A15" s="41" t="s">
        <v>1</v>
      </c>
      <c r="B15" s="91" t="s">
        <v>2</v>
      </c>
      <c r="C15" s="13"/>
      <c r="D15" s="42"/>
      <c r="E15" s="42"/>
      <c r="F15" s="13"/>
      <c r="G15" s="13"/>
      <c r="H15" s="13"/>
      <c r="I15" s="44"/>
    </row>
    <row r="16" spans="1:9" ht="25.5" hidden="1" customHeight="1">
      <c r="A16" s="41" t="s">
        <v>205</v>
      </c>
      <c r="B16" s="91" t="s">
        <v>4</v>
      </c>
      <c r="C16" s="13"/>
      <c r="D16" s="42"/>
      <c r="E16" s="42"/>
      <c r="F16" s="13"/>
      <c r="G16" s="13"/>
      <c r="H16" s="13"/>
      <c r="I16" s="44"/>
    </row>
    <row r="17" spans="1:9" s="5" customFormat="1" ht="15.75" hidden="1" customHeight="1">
      <c r="A17" s="41" t="s">
        <v>207</v>
      </c>
      <c r="B17" s="91" t="s">
        <v>5</v>
      </c>
      <c r="C17" s="13"/>
      <c r="D17" s="42"/>
      <c r="E17" s="42"/>
      <c r="F17" s="13"/>
      <c r="G17" s="13"/>
      <c r="H17" s="13"/>
      <c r="I17" s="44"/>
    </row>
    <row r="18" spans="1:9" s="21" customFormat="1" ht="30.75" customHeight="1">
      <c r="A18" s="45" t="s">
        <v>256</v>
      </c>
      <c r="B18" s="91"/>
      <c r="C18" s="13"/>
      <c r="D18" s="42"/>
      <c r="E18" s="42"/>
      <c r="F18" s="13"/>
      <c r="G18" s="13"/>
      <c r="H18" s="13"/>
      <c r="I18" s="44"/>
    </row>
    <row r="19" spans="1:9" ht="22.5" customHeight="1">
      <c r="A19" s="41" t="s">
        <v>1</v>
      </c>
      <c r="B19" s="91" t="s">
        <v>2</v>
      </c>
      <c r="C19" s="13">
        <v>0</v>
      </c>
      <c r="D19" s="42">
        <v>140.30000000000001</v>
      </c>
      <c r="E19" s="42">
        <v>13.9</v>
      </c>
      <c r="F19" s="13">
        <v>0</v>
      </c>
      <c r="G19" s="13">
        <v>0</v>
      </c>
      <c r="H19" s="13">
        <v>0</v>
      </c>
      <c r="I19" s="47">
        <v>0</v>
      </c>
    </row>
    <row r="20" spans="1:9" ht="21.75" customHeight="1">
      <c r="A20" s="41" t="s">
        <v>205</v>
      </c>
      <c r="B20" s="91" t="s">
        <v>4</v>
      </c>
      <c r="C20" s="13"/>
      <c r="D20" s="13"/>
      <c r="E20" s="42">
        <f>E19/1.097*100/D19</f>
        <v>9.0313048416240491</v>
      </c>
      <c r="F20" s="13"/>
      <c r="G20" s="13"/>
      <c r="H20" s="13"/>
      <c r="I20" s="44"/>
    </row>
    <row r="21" spans="1:9" s="5" customFormat="1" ht="29.25" customHeight="1">
      <c r="A21" s="41" t="s">
        <v>207</v>
      </c>
      <c r="B21" s="91" t="s">
        <v>5</v>
      </c>
      <c r="C21" s="13">
        <v>0</v>
      </c>
      <c r="D21" s="13">
        <v>100</v>
      </c>
      <c r="E21" s="42">
        <v>0</v>
      </c>
      <c r="F21" s="13">
        <v>0</v>
      </c>
      <c r="G21" s="13">
        <v>0</v>
      </c>
      <c r="H21" s="13">
        <v>0</v>
      </c>
      <c r="I21" s="47">
        <v>0</v>
      </c>
    </row>
    <row r="22" spans="1:9" ht="28.5">
      <c r="A22" s="39" t="s">
        <v>213</v>
      </c>
      <c r="B22" s="92"/>
      <c r="C22" s="13"/>
      <c r="D22" s="13"/>
      <c r="E22" s="42"/>
      <c r="F22" s="13"/>
      <c r="G22" s="13"/>
      <c r="H22" s="13"/>
      <c r="I22" s="44"/>
    </row>
    <row r="23" spans="1:9" ht="21.75" customHeight="1">
      <c r="A23" s="41" t="s">
        <v>1</v>
      </c>
      <c r="B23" s="91" t="s">
        <v>2</v>
      </c>
      <c r="C23" s="13">
        <f>C28+C32+C36+C40+C44+C48+C52+C56+C60+C64+C68+C72+C76</f>
        <v>667.6</v>
      </c>
      <c r="D23" s="42">
        <f>D28+D32+D36+D40+D44+D48+D52+D56+D60+D64+D68+D72+D76</f>
        <v>596.1</v>
      </c>
      <c r="E23" s="42">
        <f t="shared" ref="E23:I23" si="2">E28+E32+E36+E40+E44+E48+E52+E56+E60+E64+E68+E72+E76</f>
        <v>665.2</v>
      </c>
      <c r="F23" s="42">
        <f t="shared" si="2"/>
        <v>674.8</v>
      </c>
      <c r="G23" s="13">
        <f>G28+G32+G36+G40+G44+G48+G52+G56+G60+G64+G68+G72+G76</f>
        <v>698.6</v>
      </c>
      <c r="H23" s="13">
        <f t="shared" si="2"/>
        <v>723.2</v>
      </c>
      <c r="I23" s="13">
        <f t="shared" si="2"/>
        <v>748.9</v>
      </c>
    </row>
    <row r="24" spans="1:9" ht="24" customHeight="1">
      <c r="A24" s="41" t="s">
        <v>205</v>
      </c>
      <c r="B24" s="91" t="s">
        <v>4</v>
      </c>
      <c r="C24" s="13">
        <v>119</v>
      </c>
      <c r="D24" s="13">
        <f>D23/1.059/C23*100</f>
        <v>84.315386221329803</v>
      </c>
      <c r="E24" s="42">
        <f>E23/1.088*100/D23</f>
        <v>102.56619003917621</v>
      </c>
      <c r="F24" s="13">
        <f>F23/1.179/E23*100</f>
        <v>86.041709062736984</v>
      </c>
      <c r="G24" s="13">
        <f>G23/1.083/F23*100</f>
        <v>95.592770964318433</v>
      </c>
      <c r="H24" s="13">
        <f>H23/1.065/G23*100</f>
        <v>97.203125231011995</v>
      </c>
      <c r="I24" s="13">
        <f>I23/1.046*100/H23</f>
        <v>98.99966581498839</v>
      </c>
    </row>
    <row r="25" spans="1:9" s="5" customFormat="1" ht="30">
      <c r="A25" s="41" t="s">
        <v>206</v>
      </c>
      <c r="B25" s="91" t="s">
        <v>5</v>
      </c>
      <c r="C25" s="13">
        <f t="shared" ref="C25:I25" si="3">C23/C6*100</f>
        <v>62.073454207345421</v>
      </c>
      <c r="D25" s="13">
        <f t="shared" si="3"/>
        <v>47.092747669458049</v>
      </c>
      <c r="E25" s="42">
        <f t="shared" si="3"/>
        <v>52.078603303844041</v>
      </c>
      <c r="F25" s="13">
        <f t="shared" si="3"/>
        <v>50.58849988754779</v>
      </c>
      <c r="G25" s="13">
        <f t="shared" si="3"/>
        <v>49.02800196505018</v>
      </c>
      <c r="H25" s="13">
        <f>H23/H6*100</f>
        <v>48.101097439308283</v>
      </c>
      <c r="I25" s="13">
        <f t="shared" si="3"/>
        <v>48.699440759526595</v>
      </c>
    </row>
    <row r="26" spans="1:9" s="21" customFormat="1" ht="15">
      <c r="A26" s="43" t="s">
        <v>84</v>
      </c>
      <c r="B26" s="91"/>
      <c r="C26" s="13"/>
      <c r="D26" s="13"/>
      <c r="E26" s="42"/>
      <c r="F26" s="13"/>
      <c r="G26" s="13"/>
      <c r="H26" s="13"/>
      <c r="I26" s="44"/>
    </row>
    <row r="27" spans="1:9" s="21" customFormat="1" ht="30">
      <c r="A27" s="55" t="s">
        <v>271</v>
      </c>
      <c r="B27" s="91"/>
      <c r="C27" s="13"/>
      <c r="D27" s="13"/>
      <c r="E27" s="42"/>
      <c r="F27" s="13"/>
      <c r="G27" s="13"/>
      <c r="H27" s="13"/>
      <c r="I27" s="44"/>
    </row>
    <row r="28" spans="1:9" ht="22.5" customHeight="1">
      <c r="A28" s="41" t="s">
        <v>1</v>
      </c>
      <c r="B28" s="91" t="s">
        <v>2</v>
      </c>
      <c r="C28" s="13">
        <v>156.30000000000001</v>
      </c>
      <c r="D28" s="48">
        <v>151.6</v>
      </c>
      <c r="E28" s="87">
        <v>161.30000000000001</v>
      </c>
      <c r="F28" s="48">
        <v>166.1</v>
      </c>
      <c r="G28" s="48">
        <v>171.1</v>
      </c>
      <c r="H28" s="48">
        <v>176.2</v>
      </c>
      <c r="I28" s="49">
        <v>181.4</v>
      </c>
    </row>
    <row r="29" spans="1:9" ht="21" customHeight="1">
      <c r="A29" s="41" t="s">
        <v>205</v>
      </c>
      <c r="B29" s="91" t="s">
        <v>4</v>
      </c>
      <c r="C29" s="13">
        <v>94</v>
      </c>
      <c r="D29" s="13">
        <f>D28/1.072*100/C28</f>
        <v>90.478509563506833</v>
      </c>
      <c r="E29" s="42">
        <f>E28/1.11*100/D28</f>
        <v>95.854429627516694</v>
      </c>
      <c r="F29" s="13">
        <f>F28/1.194*100/E28</f>
        <v>86.24440657513648</v>
      </c>
      <c r="G29" s="13">
        <f>G28/1.066*100/F28</f>
        <v>96.632490429938315</v>
      </c>
      <c r="H29" s="13">
        <f>H28/1.056*100/G28</f>
        <v>97.519614614880538</v>
      </c>
      <c r="I29" s="13">
        <f>I28/1.053*100/H28</f>
        <v>97.769412941565804</v>
      </c>
    </row>
    <row r="30" spans="1:9" s="5" customFormat="1" ht="30">
      <c r="A30" s="41" t="s">
        <v>208</v>
      </c>
      <c r="B30" s="91" t="s">
        <v>5</v>
      </c>
      <c r="C30" s="13">
        <f>C28/C23*100</f>
        <v>23.412222887956862</v>
      </c>
      <c r="D30" s="13">
        <f>D28/D23*100</f>
        <v>25.43197450092266</v>
      </c>
      <c r="E30" s="42">
        <f t="shared" ref="E30:I30" si="4">E28/E23*100</f>
        <v>24.248346361996393</v>
      </c>
      <c r="F30" s="13">
        <f t="shared" si="4"/>
        <v>24.614700652045052</v>
      </c>
      <c r="G30" s="13">
        <f>G28/G23*100</f>
        <v>24.491840824506152</v>
      </c>
      <c r="H30" s="13">
        <f t="shared" si="4"/>
        <v>24.363938053097343</v>
      </c>
      <c r="I30" s="13">
        <f t="shared" si="4"/>
        <v>24.222192549071973</v>
      </c>
    </row>
    <row r="31" spans="1:9" s="21" customFormat="1" ht="30">
      <c r="A31" s="45" t="s">
        <v>257</v>
      </c>
      <c r="B31" s="91"/>
      <c r="C31" s="13"/>
      <c r="D31" s="13"/>
      <c r="E31" s="42"/>
      <c r="F31" s="13"/>
      <c r="G31" s="13"/>
      <c r="H31" s="13"/>
      <c r="I31" s="44"/>
    </row>
    <row r="32" spans="1:9" ht="24.75" customHeight="1">
      <c r="A32" s="41" t="s">
        <v>1</v>
      </c>
      <c r="B32" s="91" t="s">
        <v>2</v>
      </c>
      <c r="C32" s="13">
        <v>1</v>
      </c>
      <c r="D32" s="50">
        <v>1.1000000000000001</v>
      </c>
      <c r="E32" s="172">
        <v>1.2</v>
      </c>
      <c r="F32" s="50">
        <v>1.2</v>
      </c>
      <c r="G32" s="50">
        <v>1.3</v>
      </c>
      <c r="H32" s="50">
        <v>1.4</v>
      </c>
      <c r="I32" s="50">
        <v>1.5</v>
      </c>
    </row>
    <row r="33" spans="1:9" ht="24.75" customHeight="1">
      <c r="A33" s="41" t="s">
        <v>205</v>
      </c>
      <c r="B33" s="91" t="s">
        <v>4</v>
      </c>
      <c r="C33" s="13">
        <v>129</v>
      </c>
      <c r="D33" s="13">
        <f>D32/1.049/C32*100</f>
        <v>104.86177311725456</v>
      </c>
      <c r="E33" s="42">
        <f>E32/1.061*100/D32</f>
        <v>102.81895296032901</v>
      </c>
      <c r="F33" s="13">
        <f>F32/1.236/E32*100</f>
        <v>80.906148867313917</v>
      </c>
      <c r="G33" s="13">
        <f>G32/1.058/F32*100</f>
        <v>102.39445494643982</v>
      </c>
      <c r="H33" s="13">
        <f>H32/1.045/G32*100</f>
        <v>103.05483989694517</v>
      </c>
      <c r="I33" s="13">
        <f>I32/1.042*100/H32</f>
        <v>102.82423910063066</v>
      </c>
    </row>
    <row r="34" spans="1:9" s="5" customFormat="1" ht="30">
      <c r="A34" s="41" t="s">
        <v>208</v>
      </c>
      <c r="B34" s="91" t="s">
        <v>5</v>
      </c>
      <c r="C34" s="13">
        <f>C32/C23*100</f>
        <v>0.14979029358897544</v>
      </c>
      <c r="D34" s="13">
        <f>D32/D23*100</f>
        <v>0.18453279651065257</v>
      </c>
      <c r="E34" s="42">
        <f t="shared" ref="E34:I34" si="5">E32/E23*100</f>
        <v>0.18039687312086589</v>
      </c>
      <c r="F34" s="13">
        <f t="shared" si="5"/>
        <v>0.17783046828689983</v>
      </c>
      <c r="G34" s="13">
        <f>G32/G23*100</f>
        <v>0.18608645863154882</v>
      </c>
      <c r="H34" s="13">
        <f t="shared" si="5"/>
        <v>0.19358407079646014</v>
      </c>
      <c r="I34" s="13">
        <f t="shared" si="5"/>
        <v>0.20029376418747497</v>
      </c>
    </row>
    <row r="35" spans="1:9" s="21" customFormat="1" ht="15.75" hidden="1" customHeight="1">
      <c r="A35" s="45" t="s">
        <v>258</v>
      </c>
      <c r="B35" s="91"/>
      <c r="C35" s="13"/>
      <c r="D35" s="13"/>
      <c r="E35" s="42"/>
      <c r="F35" s="13"/>
      <c r="G35" s="13"/>
      <c r="H35" s="13"/>
      <c r="I35" s="44"/>
    </row>
    <row r="36" spans="1:9" ht="15.75" hidden="1" customHeight="1">
      <c r="A36" s="41" t="s">
        <v>1</v>
      </c>
      <c r="B36" s="91" t="s">
        <v>2</v>
      </c>
      <c r="C36" s="13"/>
      <c r="D36" s="13"/>
      <c r="E36" s="42"/>
      <c r="F36" s="13"/>
      <c r="G36" s="13"/>
      <c r="H36" s="13"/>
      <c r="I36" s="44"/>
    </row>
    <row r="37" spans="1:9" ht="24.75" hidden="1" customHeight="1">
      <c r="A37" s="41" t="s">
        <v>205</v>
      </c>
      <c r="B37" s="91" t="s">
        <v>4</v>
      </c>
      <c r="C37" s="13"/>
      <c r="D37" s="13"/>
      <c r="E37" s="42"/>
      <c r="F37" s="13"/>
      <c r="G37" s="13"/>
      <c r="H37" s="13"/>
      <c r="I37" s="44"/>
    </row>
    <row r="38" spans="1:9" s="5" customFormat="1" ht="15.75" hidden="1" customHeight="1">
      <c r="A38" s="41" t="s">
        <v>208</v>
      </c>
      <c r="B38" s="91" t="s">
        <v>5</v>
      </c>
      <c r="C38" s="13"/>
      <c r="D38" s="13"/>
      <c r="E38" s="42"/>
      <c r="F38" s="13"/>
      <c r="G38" s="13"/>
      <c r="H38" s="13"/>
      <c r="I38" s="44"/>
    </row>
    <row r="39" spans="1:9" s="21" customFormat="1" ht="30">
      <c r="A39" s="45" t="s">
        <v>259</v>
      </c>
      <c r="B39" s="94"/>
      <c r="C39" s="13"/>
      <c r="D39" s="13"/>
      <c r="E39" s="42"/>
      <c r="F39" s="13"/>
      <c r="G39" s="13"/>
      <c r="H39" s="13"/>
      <c r="I39" s="44"/>
    </row>
    <row r="40" spans="1:9" ht="22.5">
      <c r="A40" s="41" t="s">
        <v>1</v>
      </c>
      <c r="B40" s="91" t="s">
        <v>2</v>
      </c>
      <c r="C40" s="13">
        <v>34.4</v>
      </c>
      <c r="D40" s="50">
        <v>42.6</v>
      </c>
      <c r="E40" s="172">
        <v>46.2</v>
      </c>
      <c r="F40" s="50">
        <v>46.4</v>
      </c>
      <c r="G40" s="50">
        <v>46.8</v>
      </c>
      <c r="H40" s="50">
        <v>47.2</v>
      </c>
      <c r="I40" s="50">
        <v>47.7</v>
      </c>
    </row>
    <row r="41" spans="1:9" ht="25.5" customHeight="1">
      <c r="A41" s="41" t="s">
        <v>205</v>
      </c>
      <c r="B41" s="91" t="s">
        <v>4</v>
      </c>
      <c r="C41" s="13">
        <v>113</v>
      </c>
      <c r="D41" s="13">
        <f>D40/0.976/C40*100</f>
        <v>126.88238658025163</v>
      </c>
      <c r="E41" s="42">
        <f>E40/1.186*100/D40</f>
        <v>91.442415029807862</v>
      </c>
      <c r="F41" s="13">
        <f>F40/1.249/E40*100</f>
        <v>80.410648865412654</v>
      </c>
      <c r="G41" s="13">
        <f>G40/1.033/F40*100</f>
        <v>97.63995059585406</v>
      </c>
      <c r="H41" s="13">
        <f>H40/1.045/G40*100</f>
        <v>96.5116754590439</v>
      </c>
      <c r="I41" s="13">
        <f>I40/1.052*100/H40</f>
        <v>96.063994328800661</v>
      </c>
    </row>
    <row r="42" spans="1:9" s="5" customFormat="1" ht="30">
      <c r="A42" s="41" t="s">
        <v>208</v>
      </c>
      <c r="B42" s="91" t="s">
        <v>5</v>
      </c>
      <c r="C42" s="13">
        <f>C40/C23*100</f>
        <v>5.1527860994607542</v>
      </c>
      <c r="D42" s="13">
        <f>D40/D23*100</f>
        <v>7.1464519375943629</v>
      </c>
      <c r="E42" s="42">
        <f t="shared" ref="E42:I42" si="6">E40/E23*100</f>
        <v>6.9452796151533365</v>
      </c>
      <c r="F42" s="13">
        <f t="shared" si="6"/>
        <v>6.8761114404267936</v>
      </c>
      <c r="G42" s="13">
        <f t="shared" si="6"/>
        <v>6.6991125107357563</v>
      </c>
      <c r="H42" s="13">
        <f t="shared" si="6"/>
        <v>6.5265486725663724</v>
      </c>
      <c r="I42" s="13">
        <f t="shared" si="6"/>
        <v>6.3693417011617042</v>
      </c>
    </row>
    <row r="43" spans="1:9" s="21" customFormat="1" ht="45">
      <c r="A43" s="45" t="s">
        <v>260</v>
      </c>
      <c r="B43" s="91"/>
      <c r="C43" s="13"/>
      <c r="D43" s="13"/>
      <c r="E43" s="42"/>
      <c r="F43" s="13"/>
      <c r="G43" s="13"/>
      <c r="H43" s="13"/>
      <c r="I43" s="44"/>
    </row>
    <row r="44" spans="1:9" ht="22.5">
      <c r="A44" s="41" t="s">
        <v>1</v>
      </c>
      <c r="B44" s="91" t="s">
        <v>2</v>
      </c>
      <c r="C44" s="13">
        <v>5.0999999999999996</v>
      </c>
      <c r="D44" s="50">
        <v>5</v>
      </c>
      <c r="E44" s="172">
        <v>4.4000000000000004</v>
      </c>
      <c r="F44" s="50">
        <v>4.5</v>
      </c>
      <c r="G44" s="50">
        <v>4.5</v>
      </c>
      <c r="H44" s="50">
        <v>4.5</v>
      </c>
      <c r="I44" s="50">
        <v>4.5999999999999996</v>
      </c>
    </row>
    <row r="45" spans="1:9" ht="24" customHeight="1">
      <c r="A45" s="41" t="s">
        <v>205</v>
      </c>
      <c r="B45" s="91" t="s">
        <v>4</v>
      </c>
      <c r="C45" s="13">
        <v>121.1</v>
      </c>
      <c r="D45" s="13">
        <f>D44/1.091/C44*100</f>
        <v>89.861792563038051</v>
      </c>
      <c r="E45" s="42">
        <f>E44/1.092*100/D44</f>
        <v>80.586080586080584</v>
      </c>
      <c r="F45" s="13">
        <f>F44/1.468/E44*100</f>
        <v>69.668070349269257</v>
      </c>
      <c r="G45" s="13">
        <f>G44/1.077/F44*100</f>
        <v>92.850510677808728</v>
      </c>
      <c r="H45" s="13">
        <f>H44/1.043/G44*100</f>
        <v>95.877277085330775</v>
      </c>
      <c r="I45" s="13">
        <f>I44/1.038*100/H44</f>
        <v>98.479982873046453</v>
      </c>
    </row>
    <row r="46" spans="1:9" s="5" customFormat="1" ht="30">
      <c r="A46" s="41" t="s">
        <v>208</v>
      </c>
      <c r="B46" s="91" t="s">
        <v>5</v>
      </c>
      <c r="C46" s="13">
        <f>C44/C23*100</f>
        <v>0.7639304973037746</v>
      </c>
      <c r="D46" s="13">
        <f>D44/D23*100</f>
        <v>0.83878543868478439</v>
      </c>
      <c r="E46" s="42">
        <f t="shared" ref="E46:I46" si="7">E44/E23*100</f>
        <v>0.66145520144317504</v>
      </c>
      <c r="F46" s="13">
        <f t="shared" si="7"/>
        <v>0.66686425607587441</v>
      </c>
      <c r="G46" s="13">
        <f t="shared" si="7"/>
        <v>0.6441454337245921</v>
      </c>
      <c r="H46" s="13">
        <f t="shared" si="7"/>
        <v>0.62223451327433621</v>
      </c>
      <c r="I46" s="13">
        <f t="shared" si="7"/>
        <v>0.61423421017492319</v>
      </c>
    </row>
    <row r="47" spans="1:9" s="21" customFormat="1" ht="15.75" hidden="1" customHeight="1">
      <c r="A47" s="46" t="s">
        <v>142</v>
      </c>
      <c r="B47" s="91"/>
      <c r="C47" s="13"/>
      <c r="D47" s="13"/>
      <c r="E47" s="42"/>
      <c r="F47" s="13"/>
      <c r="G47" s="51"/>
      <c r="H47" s="13"/>
      <c r="I47" s="44"/>
    </row>
    <row r="48" spans="1:9" ht="15.75" hidden="1" customHeight="1">
      <c r="A48" s="41" t="s">
        <v>1</v>
      </c>
      <c r="B48" s="91" t="s">
        <v>2</v>
      </c>
      <c r="C48" s="13"/>
      <c r="D48" s="13"/>
      <c r="E48" s="42"/>
      <c r="F48" s="13"/>
      <c r="G48" s="51"/>
      <c r="H48" s="13"/>
      <c r="I48" s="44"/>
    </row>
    <row r="49" spans="1:9" ht="24.75" hidden="1" customHeight="1">
      <c r="A49" s="41" t="s">
        <v>3</v>
      </c>
      <c r="B49" s="91" t="s">
        <v>4</v>
      </c>
      <c r="C49" s="13"/>
      <c r="D49" s="13"/>
      <c r="E49" s="42"/>
      <c r="F49" s="13"/>
      <c r="G49" s="51"/>
      <c r="H49" s="13"/>
      <c r="I49" s="44"/>
    </row>
    <row r="50" spans="1:9" s="5" customFormat="1" ht="15.75" hidden="1" customHeight="1">
      <c r="A50" s="41" t="s">
        <v>208</v>
      </c>
      <c r="B50" s="91" t="s">
        <v>5</v>
      </c>
      <c r="C50" s="13"/>
      <c r="D50" s="13"/>
      <c r="E50" s="42"/>
      <c r="F50" s="13"/>
      <c r="G50" s="51"/>
      <c r="H50" s="13"/>
      <c r="I50" s="44"/>
    </row>
    <row r="51" spans="1:9" s="21" customFormat="1" ht="15.75" hidden="1" customHeight="1">
      <c r="A51" s="45" t="s">
        <v>261</v>
      </c>
      <c r="B51" s="91"/>
      <c r="C51" s="13"/>
      <c r="D51" s="13"/>
      <c r="E51" s="42"/>
      <c r="F51" s="13"/>
      <c r="G51" s="51"/>
      <c r="H51" s="13"/>
      <c r="I51" s="44"/>
    </row>
    <row r="52" spans="1:9" ht="15.75" hidden="1" customHeight="1">
      <c r="A52" s="41" t="s">
        <v>1</v>
      </c>
      <c r="B52" s="91" t="s">
        <v>2</v>
      </c>
      <c r="C52" s="13"/>
      <c r="D52" s="13"/>
      <c r="E52" s="42"/>
      <c r="F52" s="13"/>
      <c r="G52" s="51"/>
      <c r="H52" s="13"/>
      <c r="I52" s="44"/>
    </row>
    <row r="53" spans="1:9" ht="19.5" hidden="1" customHeight="1">
      <c r="A53" s="41" t="s">
        <v>205</v>
      </c>
      <c r="B53" s="91" t="s">
        <v>4</v>
      </c>
      <c r="C53" s="13"/>
      <c r="D53" s="13"/>
      <c r="E53" s="42"/>
      <c r="F53" s="13"/>
      <c r="G53" s="51"/>
      <c r="H53" s="13"/>
      <c r="I53" s="44"/>
    </row>
    <row r="54" spans="1:9" s="5" customFormat="1" ht="16.5" hidden="1" customHeight="1">
      <c r="A54" s="41" t="s">
        <v>208</v>
      </c>
      <c r="B54" s="91" t="s">
        <v>5</v>
      </c>
      <c r="C54" s="13"/>
      <c r="D54" s="13"/>
      <c r="E54" s="42"/>
      <c r="F54" s="13"/>
      <c r="G54" s="51"/>
      <c r="H54" s="13"/>
      <c r="I54" s="44"/>
    </row>
    <row r="55" spans="1:9" s="21" customFormat="1" ht="15.75" hidden="1" customHeight="1">
      <c r="A55" s="45" t="s">
        <v>262</v>
      </c>
      <c r="B55" s="91"/>
      <c r="C55" s="13"/>
      <c r="D55" s="13"/>
      <c r="E55" s="42"/>
      <c r="F55" s="13"/>
      <c r="G55" s="51"/>
      <c r="H55" s="13"/>
      <c r="I55" s="44"/>
    </row>
    <row r="56" spans="1:9" ht="15.75" hidden="1" customHeight="1">
      <c r="A56" s="41" t="s">
        <v>1</v>
      </c>
      <c r="B56" s="91" t="s">
        <v>2</v>
      </c>
      <c r="C56" s="13"/>
      <c r="D56" s="13"/>
      <c r="E56" s="42"/>
      <c r="F56" s="13"/>
      <c r="G56" s="51"/>
      <c r="H56" s="13"/>
      <c r="I56" s="44"/>
    </row>
    <row r="57" spans="1:9" ht="22.5" hidden="1" customHeight="1">
      <c r="A57" s="41" t="s">
        <v>205</v>
      </c>
      <c r="B57" s="91" t="s">
        <v>4</v>
      </c>
      <c r="C57" s="13"/>
      <c r="D57" s="13"/>
      <c r="E57" s="42"/>
      <c r="F57" s="13"/>
      <c r="G57" s="51"/>
      <c r="H57" s="13"/>
      <c r="I57" s="44"/>
    </row>
    <row r="58" spans="1:9" s="5" customFormat="1" ht="15.75" hidden="1" customHeight="1">
      <c r="A58" s="41" t="s">
        <v>208</v>
      </c>
      <c r="B58" s="91" t="s">
        <v>5</v>
      </c>
      <c r="C58" s="13"/>
      <c r="D58" s="13"/>
      <c r="E58" s="42"/>
      <c r="F58" s="13"/>
      <c r="G58" s="51"/>
      <c r="H58" s="13"/>
      <c r="I58" s="44"/>
    </row>
    <row r="59" spans="1:9" s="21" customFormat="1" ht="31.5" hidden="1" customHeight="1">
      <c r="A59" s="45" t="s">
        <v>263</v>
      </c>
      <c r="B59" s="91"/>
      <c r="C59" s="13"/>
      <c r="D59" s="13"/>
      <c r="E59" s="42"/>
      <c r="F59" s="13"/>
      <c r="G59" s="51"/>
      <c r="H59" s="13"/>
      <c r="I59" s="44"/>
    </row>
    <row r="60" spans="1:9" ht="15.75" hidden="1" customHeight="1">
      <c r="A60" s="41" t="s">
        <v>1</v>
      </c>
      <c r="B60" s="91" t="s">
        <v>2</v>
      </c>
      <c r="C60" s="13"/>
      <c r="D60" s="13"/>
      <c r="E60" s="42"/>
      <c r="F60" s="13"/>
      <c r="G60" s="51"/>
      <c r="H60" s="13"/>
      <c r="I60" s="44"/>
    </row>
    <row r="61" spans="1:9" ht="21" hidden="1" customHeight="1">
      <c r="A61" s="41" t="s">
        <v>205</v>
      </c>
      <c r="B61" s="91" t="s">
        <v>4</v>
      </c>
      <c r="C61" s="13"/>
      <c r="D61" s="13"/>
      <c r="E61" s="42"/>
      <c r="F61" s="13"/>
      <c r="G61" s="51"/>
      <c r="H61" s="13"/>
      <c r="I61" s="44"/>
    </row>
    <row r="62" spans="1:9" s="5" customFormat="1" ht="15.75" hidden="1" customHeight="1">
      <c r="A62" s="41" t="s">
        <v>208</v>
      </c>
      <c r="B62" s="91" t="s">
        <v>5</v>
      </c>
      <c r="C62" s="13"/>
      <c r="D62" s="13"/>
      <c r="E62" s="42"/>
      <c r="F62" s="13"/>
      <c r="G62" s="51"/>
      <c r="H62" s="13"/>
      <c r="I62" s="44"/>
    </row>
    <row r="63" spans="1:9" s="21" customFormat="1" ht="30">
      <c r="A63" s="45" t="s">
        <v>264</v>
      </c>
      <c r="B63" s="91"/>
      <c r="C63" s="13"/>
      <c r="D63" s="13"/>
      <c r="E63" s="42"/>
      <c r="F63" s="13"/>
      <c r="G63" s="13"/>
      <c r="H63" s="13"/>
      <c r="I63" s="44"/>
    </row>
    <row r="64" spans="1:9" ht="22.5">
      <c r="A64" s="41" t="s">
        <v>1</v>
      </c>
      <c r="B64" s="91" t="s">
        <v>2</v>
      </c>
      <c r="C64" s="13">
        <v>25.2</v>
      </c>
      <c r="D64" s="50">
        <v>27.8</v>
      </c>
      <c r="E64" s="172">
        <v>19.600000000000001</v>
      </c>
      <c r="F64" s="50">
        <v>19.8</v>
      </c>
      <c r="G64" s="50">
        <v>20.6</v>
      </c>
      <c r="H64" s="50">
        <v>21.4</v>
      </c>
      <c r="I64" s="50">
        <v>22.3</v>
      </c>
    </row>
    <row r="65" spans="1:9" ht="30" customHeight="1">
      <c r="A65" s="41" t="s">
        <v>3</v>
      </c>
      <c r="B65" s="91" t="s">
        <v>4</v>
      </c>
      <c r="C65" s="13">
        <v>77.3</v>
      </c>
      <c r="D65" s="13">
        <f>D64/0.942/C64*100</f>
        <v>117.10983048562666</v>
      </c>
      <c r="E65" s="42">
        <f>E64/1.023*100/D64</f>
        <v>68.918472260314928</v>
      </c>
      <c r="F65" s="13">
        <f>F64/1.147/E64*100</f>
        <v>88.073590377737844</v>
      </c>
      <c r="G65" s="13">
        <f>G64/1.098/F64*100</f>
        <v>94.754466339165788</v>
      </c>
      <c r="H65" s="13">
        <f>H64/1.061/G64*100</f>
        <v>97.910928506721078</v>
      </c>
      <c r="I65" s="13">
        <f>I64/1.054*100/H64</f>
        <v>98.866800262462533</v>
      </c>
    </row>
    <row r="66" spans="1:9" s="5" customFormat="1" ht="30">
      <c r="A66" s="41" t="s">
        <v>208</v>
      </c>
      <c r="B66" s="91" t="s">
        <v>5</v>
      </c>
      <c r="C66" s="13">
        <f>C64/C23*100</f>
        <v>3.7747153984421806</v>
      </c>
      <c r="D66" s="13">
        <f>D64/D23*100</f>
        <v>4.663647039087401</v>
      </c>
      <c r="E66" s="42">
        <f t="shared" ref="E66:I66" si="8">E64/E23*100</f>
        <v>2.9464822609741432</v>
      </c>
      <c r="F66" s="13">
        <f t="shared" si="8"/>
        <v>2.9342027267338473</v>
      </c>
      <c r="G66" s="13">
        <f t="shared" si="8"/>
        <v>2.9487546521614658</v>
      </c>
      <c r="H66" s="13">
        <f t="shared" si="8"/>
        <v>2.9590707964601766</v>
      </c>
      <c r="I66" s="13">
        <f t="shared" si="8"/>
        <v>2.9777006275871281</v>
      </c>
    </row>
    <row r="67" spans="1:9" s="21" customFormat="1" ht="34.5" hidden="1" customHeight="1">
      <c r="A67" s="45" t="s">
        <v>265</v>
      </c>
      <c r="B67" s="91"/>
      <c r="C67" s="13"/>
      <c r="D67" s="51"/>
      <c r="E67" s="42"/>
      <c r="F67" s="13"/>
      <c r="G67" s="51"/>
      <c r="H67" s="13"/>
      <c r="I67" s="44"/>
    </row>
    <row r="68" spans="1:9" ht="15.75" hidden="1" customHeight="1">
      <c r="A68" s="41" t="s">
        <v>1</v>
      </c>
      <c r="B68" s="91" t="s">
        <v>2</v>
      </c>
      <c r="C68" s="13"/>
      <c r="D68" s="51"/>
      <c r="E68" s="42"/>
      <c r="F68" s="13"/>
      <c r="G68" s="51"/>
      <c r="H68" s="13"/>
      <c r="I68" s="40"/>
    </row>
    <row r="69" spans="1:9" ht="24.75" hidden="1" customHeight="1">
      <c r="A69" s="41" t="s">
        <v>205</v>
      </c>
      <c r="B69" s="91" t="s">
        <v>4</v>
      </c>
      <c r="C69" s="13"/>
      <c r="D69" s="51"/>
      <c r="E69" s="42"/>
      <c r="F69" s="13"/>
      <c r="G69" s="51"/>
      <c r="H69" s="13"/>
      <c r="I69" s="40"/>
    </row>
    <row r="70" spans="1:9" s="5" customFormat="1" ht="15.75" hidden="1" customHeight="1">
      <c r="A70" s="41" t="s">
        <v>208</v>
      </c>
      <c r="B70" s="91" t="s">
        <v>5</v>
      </c>
      <c r="C70" s="13"/>
      <c r="D70" s="51"/>
      <c r="E70" s="42"/>
      <c r="F70" s="13"/>
      <c r="G70" s="51"/>
      <c r="H70" s="13"/>
      <c r="I70" s="44"/>
    </row>
    <row r="71" spans="1:9" s="21" customFormat="1" ht="45">
      <c r="A71" s="45" t="s">
        <v>266</v>
      </c>
      <c r="B71" s="91"/>
      <c r="C71" s="13"/>
      <c r="D71" s="13"/>
      <c r="E71" s="42"/>
      <c r="F71" s="13"/>
      <c r="G71" s="13"/>
      <c r="H71" s="13"/>
      <c r="I71" s="44"/>
    </row>
    <row r="72" spans="1:9" ht="22.5">
      <c r="A72" s="41" t="s">
        <v>1</v>
      </c>
      <c r="B72" s="91" t="s">
        <v>2</v>
      </c>
      <c r="C72" s="13">
        <v>445.6</v>
      </c>
      <c r="D72" s="50">
        <v>368</v>
      </c>
      <c r="E72" s="172">
        <v>432.5</v>
      </c>
      <c r="F72" s="50">
        <v>436.8</v>
      </c>
      <c r="G72" s="50">
        <v>454.3</v>
      </c>
      <c r="H72" s="50">
        <v>472.5</v>
      </c>
      <c r="I72" s="50">
        <v>491.4</v>
      </c>
    </row>
    <row r="73" spans="1:9" ht="27.75" customHeight="1">
      <c r="A73" s="41" t="s">
        <v>205</v>
      </c>
      <c r="B73" s="91" t="s">
        <v>4</v>
      </c>
      <c r="C73" s="13">
        <v>139.5</v>
      </c>
      <c r="D73" s="13">
        <f>D72/1.068/C72*100</f>
        <v>77.327039584720168</v>
      </c>
      <c r="E73" s="42">
        <f>E72/0.989*100/D72</f>
        <v>118.83435178265266</v>
      </c>
      <c r="F73" s="13">
        <f>F72/1.212/E72*100</f>
        <v>83.328564070279853</v>
      </c>
      <c r="G73" s="13">
        <f>G72/1.048/F72*100</f>
        <v>99.242757878254068</v>
      </c>
      <c r="H73" s="13">
        <f>H72/1.047/G72*100</f>
        <v>99.337309769051799</v>
      </c>
      <c r="I73" s="13">
        <f>I72/1.05*100/H72</f>
        <v>99.047619047619037</v>
      </c>
    </row>
    <row r="74" spans="1:9" s="5" customFormat="1" ht="30">
      <c r="A74" s="41" t="s">
        <v>208</v>
      </c>
      <c r="B74" s="91" t="s">
        <v>5</v>
      </c>
      <c r="C74" s="13">
        <f>C72/C23*100</f>
        <v>66.74655482324745</v>
      </c>
      <c r="D74" s="13">
        <f>D72/D23*100</f>
        <v>61.734608287200132</v>
      </c>
      <c r="E74" s="42">
        <f t="shared" ref="E74:I74" si="9">E72/E23*100</f>
        <v>65.018039687312083</v>
      </c>
      <c r="F74" s="13">
        <f t="shared" si="9"/>
        <v>64.730290456431533</v>
      </c>
      <c r="G74" s="13">
        <f t="shared" si="9"/>
        <v>65.030060120240478</v>
      </c>
      <c r="H74" s="13">
        <f t="shared" si="9"/>
        <v>65.334623893805315</v>
      </c>
      <c r="I74" s="13">
        <f t="shared" si="9"/>
        <v>65.61623714781679</v>
      </c>
    </row>
    <row r="75" spans="1:9" s="21" customFormat="1" ht="31.5" hidden="1" customHeight="1">
      <c r="A75" s="45" t="s">
        <v>267</v>
      </c>
      <c r="B75" s="91"/>
      <c r="C75" s="13"/>
      <c r="D75" s="13"/>
      <c r="E75" s="42"/>
      <c r="F75" s="51"/>
      <c r="G75" s="13"/>
      <c r="H75" s="13"/>
      <c r="I75" s="44"/>
    </row>
    <row r="76" spans="1:9" ht="15.75" hidden="1" customHeight="1">
      <c r="A76" s="41" t="s">
        <v>1</v>
      </c>
      <c r="B76" s="91" t="s">
        <v>2</v>
      </c>
      <c r="C76" s="13">
        <v>0</v>
      </c>
      <c r="D76" s="13"/>
      <c r="E76" s="42"/>
      <c r="F76" s="51"/>
      <c r="G76" s="13"/>
      <c r="H76" s="13"/>
      <c r="I76" s="44"/>
    </row>
    <row r="77" spans="1:9" ht="24.75" hidden="1" customHeight="1">
      <c r="A77" s="41" t="s">
        <v>205</v>
      </c>
      <c r="B77" s="91" t="s">
        <v>4</v>
      </c>
      <c r="C77" s="13">
        <v>0</v>
      </c>
      <c r="D77" s="13"/>
      <c r="E77" s="42"/>
      <c r="F77" s="51"/>
      <c r="G77" s="13"/>
      <c r="H77" s="13"/>
      <c r="I77" s="44"/>
    </row>
    <row r="78" spans="1:9" s="5" customFormat="1" ht="15.75" hidden="1" customHeight="1">
      <c r="A78" s="41" t="s">
        <v>208</v>
      </c>
      <c r="B78" s="91" t="s">
        <v>5</v>
      </c>
      <c r="C78" s="13">
        <f>C76/C23*100</f>
        <v>0</v>
      </c>
      <c r="D78" s="13">
        <f>D76/D23*100</f>
        <v>0</v>
      </c>
      <c r="E78" s="42"/>
      <c r="F78" s="51"/>
      <c r="G78" s="13"/>
      <c r="H78" s="13"/>
      <c r="I78" s="44"/>
    </row>
    <row r="79" spans="1:9" s="21" customFormat="1" ht="15.75" hidden="1" customHeight="1">
      <c r="A79" s="46" t="s">
        <v>85</v>
      </c>
      <c r="B79" s="91"/>
      <c r="C79" s="13"/>
      <c r="D79" s="13"/>
      <c r="E79" s="42"/>
      <c r="F79" s="51"/>
      <c r="G79" s="13"/>
      <c r="H79" s="13"/>
      <c r="I79" s="44"/>
    </row>
    <row r="80" spans="1:9" ht="15.75" hidden="1" customHeight="1">
      <c r="A80" s="41" t="s">
        <v>1</v>
      </c>
      <c r="B80" s="91" t="s">
        <v>2</v>
      </c>
      <c r="C80" s="13"/>
      <c r="D80" s="13"/>
      <c r="E80" s="42"/>
      <c r="F80" s="51"/>
      <c r="G80" s="13"/>
      <c r="H80" s="13"/>
      <c r="I80" s="44"/>
    </row>
    <row r="81" spans="1:9" ht="27" hidden="1" customHeight="1">
      <c r="A81" s="41" t="s">
        <v>205</v>
      </c>
      <c r="B81" s="91" t="s">
        <v>4</v>
      </c>
      <c r="C81" s="13"/>
      <c r="D81" s="13"/>
      <c r="E81" s="42"/>
      <c r="F81" s="51"/>
      <c r="G81" s="13"/>
      <c r="H81" s="13"/>
      <c r="I81" s="44"/>
    </row>
    <row r="82" spans="1:9" s="5" customFormat="1" ht="15.75" hidden="1" customHeight="1">
      <c r="A82" s="41" t="s">
        <v>208</v>
      </c>
      <c r="B82" s="91" t="s">
        <v>5</v>
      </c>
      <c r="C82" s="13"/>
      <c r="D82" s="13"/>
      <c r="E82" s="42"/>
      <c r="F82" s="51"/>
      <c r="G82" s="13"/>
      <c r="H82" s="13"/>
      <c r="I82" s="44"/>
    </row>
    <row r="83" spans="1:9" s="21" customFormat="1" ht="15.75" hidden="1" customHeight="1">
      <c r="A83" s="46" t="s">
        <v>86</v>
      </c>
      <c r="B83" s="91"/>
      <c r="C83" s="13"/>
      <c r="D83" s="13"/>
      <c r="E83" s="42"/>
      <c r="F83" s="51"/>
      <c r="G83" s="13"/>
      <c r="H83" s="13"/>
      <c r="I83" s="44"/>
    </row>
    <row r="84" spans="1:9" ht="15.75" hidden="1" customHeight="1">
      <c r="A84" s="41" t="s">
        <v>1</v>
      </c>
      <c r="B84" s="91" t="s">
        <v>2</v>
      </c>
      <c r="C84" s="13"/>
      <c r="D84" s="13"/>
      <c r="E84" s="42"/>
      <c r="F84" s="51"/>
      <c r="G84" s="13"/>
      <c r="H84" s="13"/>
      <c r="I84" s="44"/>
    </row>
    <row r="85" spans="1:9" ht="25.5" hidden="1" customHeight="1">
      <c r="A85" s="41" t="s">
        <v>3</v>
      </c>
      <c r="B85" s="91" t="s">
        <v>4</v>
      </c>
      <c r="C85" s="13"/>
      <c r="D85" s="13"/>
      <c r="E85" s="42"/>
      <c r="F85" s="51"/>
      <c r="G85" s="13"/>
      <c r="H85" s="13"/>
      <c r="I85" s="44"/>
    </row>
    <row r="86" spans="1:9" s="5" customFormat="1" ht="15.75" hidden="1" customHeight="1">
      <c r="A86" s="41" t="s">
        <v>208</v>
      </c>
      <c r="B86" s="91" t="s">
        <v>5</v>
      </c>
      <c r="C86" s="13"/>
      <c r="D86" s="13"/>
      <c r="E86" s="42"/>
      <c r="F86" s="51"/>
      <c r="G86" s="13"/>
      <c r="H86" s="13"/>
      <c r="I86" s="44"/>
    </row>
    <row r="87" spans="1:9" ht="28.5" customHeight="1">
      <c r="A87" s="39" t="s">
        <v>214</v>
      </c>
      <c r="B87" s="92"/>
      <c r="C87" s="13"/>
      <c r="D87" s="13"/>
      <c r="E87" s="42"/>
      <c r="F87" s="13"/>
      <c r="G87" s="13"/>
      <c r="H87" s="13"/>
      <c r="I87" s="44"/>
    </row>
    <row r="88" spans="1:9" ht="22.5">
      <c r="A88" s="41" t="s">
        <v>1</v>
      </c>
      <c r="B88" s="91" t="s">
        <v>2</v>
      </c>
      <c r="C88" s="52">
        <v>407.9</v>
      </c>
      <c r="D88" s="52">
        <v>529.4</v>
      </c>
      <c r="E88" s="173">
        <v>598.20000000000005</v>
      </c>
      <c r="F88" s="53">
        <v>659.1</v>
      </c>
      <c r="G88" s="53">
        <v>726.3</v>
      </c>
      <c r="H88" s="53">
        <v>780.3</v>
      </c>
      <c r="I88" s="54">
        <v>788.9</v>
      </c>
    </row>
    <row r="89" spans="1:9" ht="25.5" customHeight="1">
      <c r="A89" s="41" t="s">
        <v>205</v>
      </c>
      <c r="B89" s="91" t="s">
        <v>4</v>
      </c>
      <c r="C89" s="13">
        <v>109.9</v>
      </c>
      <c r="D89" s="13">
        <f>D88/1.105/C88*100</f>
        <v>117.45403839775297</v>
      </c>
      <c r="E89" s="42">
        <f>E88/1.054/D88*100</f>
        <v>107.20668344601208</v>
      </c>
      <c r="F89" s="13">
        <f>F88/1.09/E88*100</f>
        <v>101.08306571089413</v>
      </c>
      <c r="G89" s="13">
        <f>G88/1.104/F88*100</f>
        <v>99.814965070946542</v>
      </c>
      <c r="H89" s="13">
        <f>H88/1.084/G88*100</f>
        <v>99.10972715675112</v>
      </c>
      <c r="I89" s="13">
        <f>I88/1.079/H88*100</f>
        <v>93.69985190221152</v>
      </c>
    </row>
    <row r="90" spans="1:9" s="5" customFormat="1" ht="30">
      <c r="A90" s="41" t="s">
        <v>206</v>
      </c>
      <c r="B90" s="91" t="s">
        <v>5</v>
      </c>
      <c r="C90" s="13">
        <f>C88/C6*100</f>
        <v>37.926545792654579</v>
      </c>
      <c r="D90" s="13">
        <f>D88/D6*100</f>
        <v>41.823352820350756</v>
      </c>
      <c r="E90" s="42">
        <f>E88/E6*100</f>
        <v>46.833163704689582</v>
      </c>
      <c r="F90" s="13">
        <f t="shared" ref="F90:I90" si="10">F88/F6*100</f>
        <v>49.411500112452202</v>
      </c>
      <c r="G90" s="13">
        <f t="shared" si="10"/>
        <v>50.97199803494982</v>
      </c>
      <c r="H90" s="13">
        <f t="shared" si="10"/>
        <v>51.898902560691717</v>
      </c>
      <c r="I90" s="13">
        <f t="shared" si="10"/>
        <v>51.300559240473412</v>
      </c>
    </row>
    <row r="91" spans="1:9" s="21" customFormat="1" ht="15">
      <c r="A91" s="43" t="s">
        <v>87</v>
      </c>
      <c r="B91" s="91"/>
      <c r="C91" s="111"/>
      <c r="D91" s="111"/>
      <c r="E91" s="174"/>
      <c r="F91" s="111"/>
      <c r="G91" s="111"/>
      <c r="H91" s="111"/>
      <c r="I91" s="105"/>
    </row>
    <row r="92" spans="1:9" s="21" customFormat="1" ht="45">
      <c r="A92" s="46" t="s">
        <v>140</v>
      </c>
      <c r="B92" s="91"/>
      <c r="C92" s="111"/>
      <c r="D92" s="111"/>
      <c r="E92" s="174"/>
      <c r="F92" s="111"/>
      <c r="G92" s="111"/>
      <c r="H92" s="111"/>
      <c r="I92" s="105"/>
    </row>
    <row r="93" spans="1:9" ht="22.5">
      <c r="A93" s="41" t="s">
        <v>1</v>
      </c>
      <c r="B93" s="91" t="s">
        <v>2</v>
      </c>
      <c r="C93" s="112">
        <v>356.1</v>
      </c>
      <c r="D93" s="112">
        <v>481.9</v>
      </c>
      <c r="E93" s="130">
        <v>442.6</v>
      </c>
      <c r="F93" s="105">
        <v>490.3</v>
      </c>
      <c r="G93" s="105">
        <v>545.9</v>
      </c>
      <c r="H93" s="105">
        <v>598.29999999999995</v>
      </c>
      <c r="I93" s="113">
        <v>658.7</v>
      </c>
    </row>
    <row r="94" spans="1:9" ht="30" customHeight="1">
      <c r="A94" s="41" t="s">
        <v>205</v>
      </c>
      <c r="B94" s="91" t="s">
        <v>4</v>
      </c>
      <c r="C94" s="111">
        <v>109.9</v>
      </c>
      <c r="D94" s="111">
        <f>D93/1.105/C93*100</f>
        <v>122.46801384023247</v>
      </c>
      <c r="E94" s="174">
        <f>E93/1.054/D93*100</f>
        <v>87.139260981889763</v>
      </c>
      <c r="F94" s="111">
        <f>F93/1.09/E93*100</f>
        <v>101.63048209703295</v>
      </c>
      <c r="G94" s="111">
        <f>G93/1.104/F93*100</f>
        <v>100.85144558049343</v>
      </c>
      <c r="H94" s="111">
        <f>H93/1.084/G93*100</f>
        <v>101.1059295425341</v>
      </c>
      <c r="I94" s="111">
        <f>I93/1.079/H93*100</f>
        <v>102.03454117838046</v>
      </c>
    </row>
    <row r="95" spans="1:9" s="5" customFormat="1" ht="15" customHeight="1">
      <c r="A95" s="41" t="s">
        <v>209</v>
      </c>
      <c r="B95" s="91" t="s">
        <v>5</v>
      </c>
      <c r="C95" s="111">
        <f>C93/C88*100</f>
        <v>87.300809021819077</v>
      </c>
      <c r="D95" s="111">
        <f>D93/D88*100</f>
        <v>91.027578390630907</v>
      </c>
      <c r="E95" s="174">
        <f t="shared" ref="E95:I95" si="11">E93/E88*100</f>
        <v>73.988632564359747</v>
      </c>
      <c r="F95" s="111">
        <f t="shared" si="11"/>
        <v>74.389318768016992</v>
      </c>
      <c r="G95" s="111">
        <f t="shared" si="11"/>
        <v>75.161778879250988</v>
      </c>
      <c r="H95" s="111">
        <f t="shared" si="11"/>
        <v>76.67563757529156</v>
      </c>
      <c r="I95" s="111">
        <f t="shared" si="11"/>
        <v>83.496007098491575</v>
      </c>
    </row>
    <row r="96" spans="1:9" s="21" customFormat="1" ht="21" customHeight="1">
      <c r="A96" s="240" t="s">
        <v>141</v>
      </c>
      <c r="B96" s="241"/>
      <c r="C96" s="111"/>
      <c r="D96" s="111"/>
      <c r="E96" s="174"/>
      <c r="F96" s="111"/>
      <c r="G96" s="111"/>
      <c r="H96" s="111"/>
      <c r="I96" s="105"/>
    </row>
    <row r="97" spans="1:9" ht="22.5">
      <c r="A97" s="41" t="s">
        <v>1</v>
      </c>
      <c r="B97" s="91" t="s">
        <v>2</v>
      </c>
      <c r="C97" s="112">
        <v>51.8</v>
      </c>
      <c r="D97" s="112">
        <v>47.5</v>
      </c>
      <c r="E97" s="130">
        <v>63.1</v>
      </c>
      <c r="F97" s="105">
        <v>69.5</v>
      </c>
      <c r="G97" s="105">
        <v>77.599999999999994</v>
      </c>
      <c r="H97" s="105">
        <v>84.9</v>
      </c>
      <c r="I97" s="113">
        <v>92.1</v>
      </c>
    </row>
    <row r="98" spans="1:9" ht="26.25" customHeight="1">
      <c r="A98" s="41" t="s">
        <v>205</v>
      </c>
      <c r="B98" s="91" t="s">
        <v>4</v>
      </c>
      <c r="C98" s="111">
        <v>109.8</v>
      </c>
      <c r="D98" s="111">
        <f>D97/1.105/C97*100</f>
        <v>82.985377103024177</v>
      </c>
      <c r="E98" s="174">
        <f>E97/1.054/D97*100</f>
        <v>126.03615300109855</v>
      </c>
      <c r="F98" s="111">
        <f>F97/1.09/E97*100</f>
        <v>101.04828508701785</v>
      </c>
      <c r="G98" s="111">
        <f>G97/1.104/F97*100</f>
        <v>101.13648211865286</v>
      </c>
      <c r="H98" s="111">
        <f>H97/1.084/G97*100</f>
        <v>100.92916650815992</v>
      </c>
      <c r="I98" s="111">
        <f>I97/1.079/H97*100</f>
        <v>100.53805873125555</v>
      </c>
    </row>
    <row r="99" spans="1:9" s="5" customFormat="1" ht="30">
      <c r="A99" s="41" t="s">
        <v>209</v>
      </c>
      <c r="B99" s="91" t="s">
        <v>5</v>
      </c>
      <c r="C99" s="111">
        <f>C97/C88*100</f>
        <v>12.699190978180926</v>
      </c>
      <c r="D99" s="111">
        <f>D97/D88*100</f>
        <v>8.9724216093690981</v>
      </c>
      <c r="E99" s="174">
        <f t="shared" ref="E99:I99" si="12">E97/E88*100</f>
        <v>10.548311601471079</v>
      </c>
      <c r="F99" s="111">
        <f t="shared" si="12"/>
        <v>10.544682142315279</v>
      </c>
      <c r="G99" s="111">
        <f t="shared" si="12"/>
        <v>10.684290238193583</v>
      </c>
      <c r="H99" s="111">
        <f t="shared" si="12"/>
        <v>10.880430603613995</v>
      </c>
      <c r="I99" s="111">
        <f t="shared" si="12"/>
        <v>11.674483457979465</v>
      </c>
    </row>
    <row r="100" spans="1:9" ht="42.75">
      <c r="A100" s="55" t="s">
        <v>220</v>
      </c>
      <c r="B100" s="92"/>
      <c r="C100" s="13"/>
      <c r="D100" s="13"/>
      <c r="E100" s="42"/>
      <c r="F100" s="13"/>
      <c r="G100" s="13"/>
      <c r="H100" s="13"/>
      <c r="I100" s="40"/>
    </row>
    <row r="101" spans="1:9" ht="30" hidden="1">
      <c r="A101" s="56" t="s">
        <v>221</v>
      </c>
      <c r="B101" s="95" t="s">
        <v>8</v>
      </c>
      <c r="C101" s="13"/>
      <c r="D101" s="13"/>
      <c r="E101" s="42"/>
      <c r="F101" s="13"/>
      <c r="G101" s="13"/>
      <c r="H101" s="13"/>
      <c r="I101" s="40"/>
    </row>
    <row r="102" spans="1:9" ht="30" hidden="1">
      <c r="A102" s="56" t="s">
        <v>222</v>
      </c>
      <c r="B102" s="95" t="s">
        <v>223</v>
      </c>
      <c r="C102" s="13"/>
      <c r="D102" s="13"/>
      <c r="E102" s="42"/>
      <c r="F102" s="13"/>
      <c r="G102" s="13"/>
      <c r="H102" s="13"/>
      <c r="I102" s="40"/>
    </row>
    <row r="103" spans="1:9" ht="30" hidden="1">
      <c r="A103" s="41" t="s">
        <v>224</v>
      </c>
      <c r="B103" s="91" t="s">
        <v>7</v>
      </c>
      <c r="C103" s="13"/>
      <c r="D103" s="13"/>
      <c r="E103" s="42"/>
      <c r="F103" s="13"/>
      <c r="G103" s="13"/>
      <c r="H103" s="13"/>
      <c r="I103" s="44"/>
    </row>
    <row r="104" spans="1:9" ht="22.5" hidden="1">
      <c r="A104" s="57" t="s">
        <v>225</v>
      </c>
      <c r="B104" s="91" t="s">
        <v>7</v>
      </c>
      <c r="C104" s="58"/>
      <c r="D104" s="58"/>
      <c r="E104" s="175"/>
      <c r="F104" s="58"/>
      <c r="G104" s="58"/>
      <c r="H104" s="58"/>
      <c r="I104" s="59"/>
    </row>
    <row r="105" spans="1:9" ht="30" hidden="1">
      <c r="A105" s="41" t="s">
        <v>233</v>
      </c>
      <c r="B105" s="91" t="s">
        <v>234</v>
      </c>
      <c r="C105" s="58"/>
      <c r="D105" s="58"/>
      <c r="E105" s="175"/>
      <c r="F105" s="58"/>
      <c r="G105" s="58"/>
      <c r="H105" s="58"/>
      <c r="I105" s="59"/>
    </row>
    <row r="106" spans="1:9" ht="15" hidden="1">
      <c r="A106" s="41" t="s">
        <v>235</v>
      </c>
      <c r="B106" s="91" t="s">
        <v>234</v>
      </c>
      <c r="C106" s="60"/>
      <c r="D106" s="60"/>
      <c r="E106" s="176"/>
      <c r="F106" s="60"/>
      <c r="G106" s="60"/>
      <c r="H106" s="60"/>
      <c r="I106" s="59"/>
    </row>
    <row r="107" spans="1:9" ht="15" hidden="1">
      <c r="A107" s="57" t="s">
        <v>226</v>
      </c>
      <c r="B107" s="91" t="s">
        <v>8</v>
      </c>
      <c r="C107" s="60"/>
      <c r="D107" s="60"/>
      <c r="E107" s="176"/>
      <c r="F107" s="60"/>
      <c r="G107" s="60"/>
      <c r="H107" s="60"/>
      <c r="I107" s="59"/>
    </row>
    <row r="108" spans="1:9" ht="22.5">
      <c r="A108" s="41" t="s">
        <v>227</v>
      </c>
      <c r="B108" s="91" t="s">
        <v>9</v>
      </c>
      <c r="C108" s="105">
        <v>83.183999999999997</v>
      </c>
      <c r="D108" s="105">
        <v>92.495999999999995</v>
      </c>
      <c r="E108" s="142">
        <v>111.43</v>
      </c>
      <c r="F108" s="106">
        <v>111.52</v>
      </c>
      <c r="G108" s="106">
        <v>112.544</v>
      </c>
      <c r="H108" s="106">
        <v>113.67</v>
      </c>
      <c r="I108" s="107">
        <v>114.806</v>
      </c>
    </row>
    <row r="109" spans="1:9" ht="22.5">
      <c r="A109" s="41" t="s">
        <v>228</v>
      </c>
      <c r="B109" s="91" t="s">
        <v>9</v>
      </c>
      <c r="C109" s="106">
        <v>7.65</v>
      </c>
      <c r="D109" s="106">
        <v>7.8</v>
      </c>
      <c r="E109" s="142">
        <v>7.9356</v>
      </c>
      <c r="F109" s="106">
        <v>7.9560000000000004</v>
      </c>
      <c r="G109" s="106">
        <v>8.0359999999999996</v>
      </c>
      <c r="H109" s="106">
        <v>8.1159999999999997</v>
      </c>
      <c r="I109" s="107">
        <v>8.1969999999999992</v>
      </c>
    </row>
    <row r="110" spans="1:9" ht="25.5" hidden="1" customHeight="1">
      <c r="A110" s="41" t="s">
        <v>229</v>
      </c>
      <c r="B110" s="91" t="s">
        <v>10</v>
      </c>
      <c r="C110" s="108"/>
      <c r="D110" s="108"/>
      <c r="E110" s="177"/>
      <c r="F110" s="108"/>
      <c r="G110" s="108"/>
      <c r="H110" s="108"/>
      <c r="I110" s="109"/>
    </row>
    <row r="111" spans="1:9" ht="19.5" hidden="1" customHeight="1">
      <c r="A111" s="41" t="s">
        <v>231</v>
      </c>
      <c r="B111" s="91" t="s">
        <v>232</v>
      </c>
      <c r="C111" s="110"/>
      <c r="D111" s="110"/>
      <c r="E111" s="178"/>
      <c r="F111" s="110"/>
      <c r="G111" s="110"/>
      <c r="H111" s="110"/>
      <c r="I111" s="109"/>
    </row>
    <row r="112" spans="1:9" ht="15" hidden="1">
      <c r="A112" s="41" t="s">
        <v>230</v>
      </c>
      <c r="B112" s="91" t="s">
        <v>11</v>
      </c>
      <c r="C112" s="110"/>
      <c r="D112" s="110"/>
      <c r="E112" s="178"/>
      <c r="F112" s="110"/>
      <c r="G112" s="110"/>
      <c r="H112" s="110"/>
      <c r="I112" s="109"/>
    </row>
    <row r="113" spans="1:9" s="22" customFormat="1" ht="21" customHeight="1">
      <c r="A113" s="223" t="s">
        <v>57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s="21" customFormat="1" ht="16.5" customHeight="1">
      <c r="A114" s="62" t="s">
        <v>90</v>
      </c>
      <c r="B114" s="63"/>
      <c r="C114" s="61"/>
      <c r="D114" s="61"/>
      <c r="E114" s="83"/>
      <c r="F114" s="61"/>
      <c r="G114" s="61"/>
      <c r="H114" s="61"/>
      <c r="I114" s="61"/>
    </row>
    <row r="115" spans="1:9" ht="45">
      <c r="A115" s="64" t="s">
        <v>130</v>
      </c>
      <c r="B115" s="96"/>
      <c r="C115" s="65"/>
      <c r="D115" s="65"/>
      <c r="E115" s="179"/>
      <c r="F115" s="65"/>
      <c r="G115" s="65"/>
      <c r="H115" s="65"/>
      <c r="I115" s="65"/>
    </row>
    <row r="116" spans="1:9" ht="22.5">
      <c r="A116" s="66" t="s">
        <v>79</v>
      </c>
      <c r="B116" s="115" t="s">
        <v>6</v>
      </c>
      <c r="C116" s="86">
        <v>452.8</v>
      </c>
      <c r="D116" s="86">
        <v>522.29999999999995</v>
      </c>
      <c r="E116" s="86">
        <f t="shared" ref="E116:I116" si="13">E119+E122</f>
        <v>621.29999999999995</v>
      </c>
      <c r="F116" s="86">
        <f t="shared" si="13"/>
        <v>683.3</v>
      </c>
      <c r="G116" s="48">
        <f t="shared" si="13"/>
        <v>738.51063999999997</v>
      </c>
      <c r="H116" s="48">
        <f t="shared" si="13"/>
        <v>780.46525999999994</v>
      </c>
      <c r="I116" s="48">
        <f t="shared" si="13"/>
        <v>827.81795</v>
      </c>
    </row>
    <row r="117" spans="1:9" ht="22.5" customHeight="1">
      <c r="A117" s="66" t="s">
        <v>80</v>
      </c>
      <c r="B117" s="115" t="s">
        <v>4</v>
      </c>
      <c r="C117" s="87"/>
      <c r="D117" s="87">
        <f>D116/1.044/C116*100</f>
        <v>110.48749035376304</v>
      </c>
      <c r="E117" s="87">
        <f>E116/1.112/D116*100</f>
        <v>106.97358253546503</v>
      </c>
      <c r="F117" s="87">
        <f>F116/1.048/E116*100</f>
        <v>104.94186653692148</v>
      </c>
      <c r="G117" s="48">
        <f>G116/1.045/F116*100</f>
        <v>103.42583732057417</v>
      </c>
      <c r="H117" s="48">
        <f>H116/1.047/G116*100</f>
        <v>100.93694083479852</v>
      </c>
      <c r="I117" s="48">
        <f>I116/1.044/H116*100</f>
        <v>101.59697189868851</v>
      </c>
    </row>
    <row r="118" spans="1:9" ht="15">
      <c r="A118" s="67" t="s">
        <v>131</v>
      </c>
      <c r="B118" s="115"/>
      <c r="C118" s="86"/>
      <c r="D118" s="86"/>
      <c r="E118" s="86"/>
      <c r="F118" s="86"/>
      <c r="G118" s="44"/>
      <c r="H118" s="44"/>
      <c r="I118" s="44"/>
    </row>
    <row r="119" spans="1:9" ht="22.5">
      <c r="A119" s="69" t="s">
        <v>79</v>
      </c>
      <c r="B119" s="115" t="s">
        <v>6</v>
      </c>
      <c r="C119" s="86">
        <v>223.6</v>
      </c>
      <c r="D119" s="86">
        <v>295.3</v>
      </c>
      <c r="E119" s="86">
        <v>389.8</v>
      </c>
      <c r="F119" s="86">
        <v>428.7</v>
      </c>
      <c r="G119" s="48">
        <f>F119*108.08/100</f>
        <v>463.33895999999999</v>
      </c>
      <c r="H119" s="48">
        <f>F119*114.22/100</f>
        <v>489.66113999999999</v>
      </c>
      <c r="I119" s="48">
        <f>F119*121.15/100</f>
        <v>519.37004999999999</v>
      </c>
    </row>
    <row r="120" spans="1:9" ht="24" customHeight="1">
      <c r="A120" s="69" t="s">
        <v>80</v>
      </c>
      <c r="B120" s="115" t="s">
        <v>4</v>
      </c>
      <c r="C120" s="86"/>
      <c r="D120" s="87">
        <f>D119/1.05/C119*100</f>
        <v>125.77732345174206</v>
      </c>
      <c r="E120" s="87">
        <f>E119/1.054/D119*100</f>
        <v>125.23847680710638</v>
      </c>
      <c r="F120" s="87">
        <f>F119/1.04/E119*100</f>
        <v>105.7494967833603</v>
      </c>
      <c r="G120" s="48">
        <f>G119/1.045/F119*100</f>
        <v>103.42583732057417</v>
      </c>
      <c r="H120" s="48">
        <f>H119/1.047/G119*100</f>
        <v>100.93694083479852</v>
      </c>
      <c r="I120" s="48">
        <f>I119/1.044/H119*100</f>
        <v>101.59697189868848</v>
      </c>
    </row>
    <row r="121" spans="1:9" ht="15">
      <c r="A121" s="67" t="s">
        <v>132</v>
      </c>
      <c r="B121" s="115"/>
      <c r="C121" s="86"/>
      <c r="D121" s="86"/>
      <c r="E121" s="86"/>
      <c r="F121" s="86"/>
      <c r="G121" s="44"/>
      <c r="H121" s="44"/>
      <c r="I121" s="44"/>
    </row>
    <row r="122" spans="1:9" ht="22.5">
      <c r="A122" s="67" t="s">
        <v>79</v>
      </c>
      <c r="B122" s="115" t="s">
        <v>6</v>
      </c>
      <c r="C122" s="87">
        <v>229.2</v>
      </c>
      <c r="D122" s="87">
        <v>227</v>
      </c>
      <c r="E122" s="87">
        <v>231.5</v>
      </c>
      <c r="F122" s="87">
        <v>254.6</v>
      </c>
      <c r="G122" s="48">
        <f>F122*108.08/100</f>
        <v>275.17167999999998</v>
      </c>
      <c r="H122" s="48">
        <f>F122*114.22/100</f>
        <v>290.80412000000001</v>
      </c>
      <c r="I122" s="48">
        <f>F122*121.15/100</f>
        <v>308.4479</v>
      </c>
    </row>
    <row r="123" spans="1:9" ht="24" customHeight="1">
      <c r="A123" s="67" t="s">
        <v>80</v>
      </c>
      <c r="B123" s="115" t="s">
        <v>4</v>
      </c>
      <c r="C123" s="86"/>
      <c r="D123" s="87">
        <f>D122/1.03/C122*100</f>
        <v>96.155475355394032</v>
      </c>
      <c r="E123" s="87">
        <f>E122/1.084/D122*100</f>
        <v>94.079685290244967</v>
      </c>
      <c r="F123" s="87">
        <f>F122/1.056/E122*100</f>
        <v>104.14621375744485</v>
      </c>
      <c r="G123" s="48">
        <f>G122/1.045/F122*100</f>
        <v>103.42583732057417</v>
      </c>
      <c r="H123" s="48">
        <f>H122/1.047/G122*100</f>
        <v>100.93694083479853</v>
      </c>
      <c r="I123" s="48">
        <f>I122/1.044/H122*100</f>
        <v>101.59697189868848</v>
      </c>
    </row>
    <row r="124" spans="1:9" ht="15.75" customHeight="1">
      <c r="A124" s="70" t="s">
        <v>15</v>
      </c>
      <c r="B124" s="115"/>
      <c r="C124" s="86"/>
      <c r="D124" s="86"/>
      <c r="E124" s="86"/>
      <c r="F124" s="86"/>
      <c r="G124" s="44"/>
      <c r="H124" s="44"/>
      <c r="I124" s="44"/>
    </row>
    <row r="125" spans="1:9" ht="31.5" customHeight="1">
      <c r="A125" s="66" t="s">
        <v>91</v>
      </c>
      <c r="B125" s="115"/>
      <c r="C125" s="86"/>
      <c r="D125" s="86"/>
      <c r="E125" s="86"/>
      <c r="F125" s="86"/>
      <c r="G125" s="44"/>
      <c r="H125" s="44"/>
      <c r="I125" s="44"/>
    </row>
    <row r="126" spans="1:9" ht="22.5">
      <c r="A126" s="66" t="s">
        <v>1</v>
      </c>
      <c r="B126" s="115" t="s">
        <v>6</v>
      </c>
      <c r="C126" s="86">
        <v>21.6</v>
      </c>
      <c r="D126" s="86">
        <v>4.4000000000000004</v>
      </c>
      <c r="E126" s="86">
        <v>3.5</v>
      </c>
      <c r="F126" s="86">
        <v>3.5</v>
      </c>
      <c r="G126" s="48">
        <f>F126*108.08/100</f>
        <v>3.7827999999999999</v>
      </c>
      <c r="H126" s="48">
        <f>F126*114.22/100</f>
        <v>3.9977</v>
      </c>
      <c r="I126" s="48">
        <f>F126*121.15/100</f>
        <v>4.2402500000000005</v>
      </c>
    </row>
    <row r="127" spans="1:9" ht="33.75">
      <c r="A127" s="66" t="s">
        <v>13</v>
      </c>
      <c r="B127" s="115" t="s">
        <v>4</v>
      </c>
      <c r="C127" s="86"/>
      <c r="D127" s="87">
        <f>D126/1.04/C126*100</f>
        <v>19.586894586894584</v>
      </c>
      <c r="E127" s="87">
        <f>E126/1.068/D126*100</f>
        <v>74.480762683009857</v>
      </c>
      <c r="F127" s="87">
        <f>F126/1.048/E126*100</f>
        <v>95.419847328244273</v>
      </c>
      <c r="G127" s="48">
        <f>G126/1.045/F126*100</f>
        <v>103.42583732057417</v>
      </c>
      <c r="H127" s="48">
        <f>H126/1.047/G126*100</f>
        <v>100.93694083479852</v>
      </c>
      <c r="I127" s="48">
        <f>I126/1.044/H126*100</f>
        <v>101.59697189868851</v>
      </c>
    </row>
    <row r="128" spans="1:9" ht="29.25" customHeight="1">
      <c r="A128" s="66" t="s">
        <v>92</v>
      </c>
      <c r="B128" s="115"/>
      <c r="C128" s="86"/>
      <c r="D128" s="86"/>
      <c r="E128" s="86"/>
      <c r="F128" s="86"/>
      <c r="G128" s="44"/>
      <c r="H128" s="44"/>
      <c r="I128" s="44"/>
    </row>
    <row r="129" spans="1:9" ht="22.5">
      <c r="A129" s="66" t="s">
        <v>1</v>
      </c>
      <c r="B129" s="115" t="s">
        <v>6</v>
      </c>
      <c r="C129" s="86">
        <v>16.7</v>
      </c>
      <c r="D129" s="86">
        <v>24.5</v>
      </c>
      <c r="E129" s="86">
        <v>36.1</v>
      </c>
      <c r="F129" s="87">
        <v>40</v>
      </c>
      <c r="G129" s="48">
        <f>F129*108.08/100</f>
        <v>43.231999999999999</v>
      </c>
      <c r="H129" s="48">
        <f>F129*114.22/100</f>
        <v>45.688000000000002</v>
      </c>
      <c r="I129" s="48">
        <f>F129*121.15/100</f>
        <v>48.46</v>
      </c>
    </row>
    <row r="130" spans="1:9" ht="27.75" customHeight="1">
      <c r="A130" s="66" t="s">
        <v>13</v>
      </c>
      <c r="B130" s="115" t="s">
        <v>4</v>
      </c>
      <c r="C130" s="86"/>
      <c r="D130" s="87">
        <f>D129/1.04/C129*100</f>
        <v>141.06402579456471</v>
      </c>
      <c r="E130" s="87">
        <f>E129/1.068/D129*100</f>
        <v>137.96529847894212</v>
      </c>
      <c r="F130" s="87">
        <f>F129/1.048/E129*100</f>
        <v>105.72836269057535</v>
      </c>
      <c r="G130" s="48">
        <f>G129/1.045/F129*100</f>
        <v>103.42583732057417</v>
      </c>
      <c r="H130" s="48">
        <f>H129/1.047/G129*100</f>
        <v>100.93694083479852</v>
      </c>
      <c r="I130" s="48">
        <f>I129/1.044/H129*100</f>
        <v>101.59697189868848</v>
      </c>
    </row>
    <row r="131" spans="1:9" ht="19.5" customHeight="1">
      <c r="A131" s="66" t="s">
        <v>93</v>
      </c>
      <c r="B131" s="115"/>
      <c r="C131" s="86"/>
      <c r="D131" s="86"/>
      <c r="E131" s="86"/>
      <c r="F131" s="86"/>
      <c r="G131" s="44"/>
      <c r="H131" s="44"/>
      <c r="I131" s="44"/>
    </row>
    <row r="132" spans="1:9" ht="22.5">
      <c r="A132" s="66" t="s">
        <v>1</v>
      </c>
      <c r="B132" s="115" t="s">
        <v>6</v>
      </c>
      <c r="C132" s="86">
        <v>414.5</v>
      </c>
      <c r="D132" s="86">
        <v>493.4</v>
      </c>
      <c r="E132" s="86">
        <v>581.70000000000005</v>
      </c>
      <c r="F132" s="86">
        <v>639.79999999999995</v>
      </c>
      <c r="G132" s="48">
        <f>F132*108.08/100</f>
        <v>691.49583999999993</v>
      </c>
      <c r="H132" s="48">
        <f>F132*114.22/100</f>
        <v>730.77955999999995</v>
      </c>
      <c r="I132" s="48">
        <f>F132*121.15/100</f>
        <v>775.11770000000001</v>
      </c>
    </row>
    <row r="133" spans="1:9" ht="27" customHeight="1">
      <c r="A133" s="66" t="s">
        <v>13</v>
      </c>
      <c r="B133" s="115" t="s">
        <v>4</v>
      </c>
      <c r="C133" s="86"/>
      <c r="D133" s="87">
        <f>D132/1.04/C132*100</f>
        <v>114.45671337106802</v>
      </c>
      <c r="E133" s="87">
        <f>E132/1.068/D132*100</f>
        <v>110.38972868834914</v>
      </c>
      <c r="F133" s="87">
        <f>F132/1.048/E132*100</f>
        <v>104.95034952829754</v>
      </c>
      <c r="G133" s="48">
        <f>G132/1.045/F132*100</f>
        <v>103.42583732057416</v>
      </c>
      <c r="H133" s="48">
        <f>H132/1.047/G132*100</f>
        <v>100.93694083479853</v>
      </c>
      <c r="I133" s="48">
        <f>I132/1.044/H132*100</f>
        <v>101.59697189868851</v>
      </c>
    </row>
    <row r="134" spans="1:9" ht="29.25" customHeight="1">
      <c r="A134" s="70" t="s">
        <v>94</v>
      </c>
      <c r="B134" s="115"/>
      <c r="C134" s="86"/>
      <c r="D134" s="86"/>
      <c r="E134" s="86"/>
      <c r="F134" s="86"/>
      <c r="G134" s="44"/>
      <c r="H134" s="44"/>
      <c r="I134" s="44"/>
    </row>
    <row r="135" spans="1:9" ht="15" customHeight="1">
      <c r="A135" s="238" t="s">
        <v>16</v>
      </c>
      <c r="B135" s="115" t="s">
        <v>7</v>
      </c>
      <c r="C135" s="83">
        <f>C138+C140</f>
        <v>0.06</v>
      </c>
      <c r="D135" s="83">
        <f>D138+D140</f>
        <v>0.08</v>
      </c>
      <c r="E135" s="86">
        <f>E138+E140</f>
        <v>0.22900000000000001</v>
      </c>
      <c r="F135" s="86">
        <f>F138+F140</f>
        <v>0.22900000000000001</v>
      </c>
      <c r="G135" s="61">
        <f>F135*102.7/100</f>
        <v>0.235183</v>
      </c>
      <c r="H135" s="61">
        <f>F135*104.1/100</f>
        <v>0.23838899999999999</v>
      </c>
      <c r="I135" s="61">
        <f>F135*105.4/100</f>
        <v>0.24136600000000002</v>
      </c>
    </row>
    <row r="136" spans="1:9" ht="33.75">
      <c r="A136" s="239"/>
      <c r="B136" s="115" t="s">
        <v>4</v>
      </c>
      <c r="C136" s="87">
        <v>52.2</v>
      </c>
      <c r="D136" s="87">
        <f>D135/C135*100</f>
        <v>133.33333333333334</v>
      </c>
      <c r="E136" s="87">
        <f>E135/D135*100</f>
        <v>286.25</v>
      </c>
      <c r="F136" s="87">
        <f>F135/E135*100</f>
        <v>100</v>
      </c>
      <c r="G136" s="44">
        <f>G135/F135*100</f>
        <v>102.69999999999999</v>
      </c>
      <c r="H136" s="44">
        <f>H135/F135*100</f>
        <v>104.1</v>
      </c>
      <c r="I136" s="44">
        <f>I135/F135*100</f>
        <v>105.4</v>
      </c>
    </row>
    <row r="137" spans="1:9" ht="15">
      <c r="A137" s="66" t="s">
        <v>12</v>
      </c>
      <c r="B137" s="115"/>
      <c r="C137" s="86"/>
      <c r="D137" s="86"/>
      <c r="E137" s="86"/>
      <c r="F137" s="86"/>
      <c r="G137" s="44"/>
      <c r="H137" s="44"/>
      <c r="I137" s="44"/>
    </row>
    <row r="138" spans="1:9" ht="15.75" customHeight="1">
      <c r="A138" s="218" t="s">
        <v>17</v>
      </c>
      <c r="B138" s="115" t="s">
        <v>7</v>
      </c>
      <c r="C138" s="86">
        <v>4.3999999999999997E-2</v>
      </c>
      <c r="D138" s="86">
        <v>0.08</v>
      </c>
      <c r="E138" s="86">
        <v>8.8999999999999996E-2</v>
      </c>
      <c r="F138" s="86">
        <v>8.8999999999999996E-2</v>
      </c>
      <c r="G138" s="61">
        <f>F138*102.7/100</f>
        <v>9.1402999999999998E-2</v>
      </c>
      <c r="H138" s="61">
        <f>F138*104.1/100</f>
        <v>9.2648999999999995E-2</v>
      </c>
      <c r="I138" s="61">
        <f>F138*105.4/100</f>
        <v>9.3806E-2</v>
      </c>
    </row>
    <row r="139" spans="1:9" ht="25.5" customHeight="1">
      <c r="A139" s="229"/>
      <c r="B139" s="209" t="s">
        <v>4</v>
      </c>
      <c r="C139" s="210">
        <v>38.299999999999997</v>
      </c>
      <c r="D139" s="210">
        <f>D138/C138*100</f>
        <v>181.81818181818184</v>
      </c>
      <c r="E139" s="210">
        <f>E138/D138*100</f>
        <v>111.24999999999999</v>
      </c>
      <c r="F139" s="210">
        <f>F138/E138*100</f>
        <v>100</v>
      </c>
      <c r="G139" s="211">
        <f>G138/F138*100</f>
        <v>102.70000000000002</v>
      </c>
      <c r="H139" s="211">
        <f>H138/F138*100</f>
        <v>104.1</v>
      </c>
      <c r="I139" s="211">
        <f>I138/F138*100</f>
        <v>105.4</v>
      </c>
    </row>
    <row r="140" spans="1:9" ht="19.5" customHeight="1">
      <c r="A140" s="230" t="s">
        <v>18</v>
      </c>
      <c r="B140" s="115" t="s">
        <v>7</v>
      </c>
      <c r="C140" s="83">
        <v>1.6E-2</v>
      </c>
      <c r="D140" s="83"/>
      <c r="E140" s="83">
        <v>0.14000000000000001</v>
      </c>
      <c r="F140" s="83">
        <v>0.14000000000000001</v>
      </c>
      <c r="G140" s="61">
        <f>F140*102.7/100</f>
        <v>0.14378000000000002</v>
      </c>
      <c r="H140" s="61">
        <f>F140*104.1/100</f>
        <v>0.14574000000000001</v>
      </c>
      <c r="I140" s="61">
        <f>F140*105.4/100</f>
        <v>0.14756000000000002</v>
      </c>
    </row>
    <row r="141" spans="1:9" ht="27" customHeight="1">
      <c r="A141" s="230"/>
      <c r="B141" s="115" t="s">
        <v>4</v>
      </c>
      <c r="C141" s="87"/>
      <c r="D141" s="87"/>
      <c r="E141" s="87"/>
      <c r="F141" s="87">
        <f>F140/E140*100</f>
        <v>100</v>
      </c>
      <c r="G141" s="48">
        <f>G140/F140*100</f>
        <v>102.70000000000002</v>
      </c>
      <c r="H141" s="48">
        <f>H140/F140*100</f>
        <v>104.1</v>
      </c>
      <c r="I141" s="48">
        <f>I140/F140*100</f>
        <v>105.4</v>
      </c>
    </row>
    <row r="142" spans="1:9" ht="16.5" customHeight="1">
      <c r="A142" s="212" t="s">
        <v>19</v>
      </c>
      <c r="B142" s="213" t="s">
        <v>7</v>
      </c>
      <c r="C142" s="214">
        <f>C145+C147+C149</f>
        <v>10.683999999999999</v>
      </c>
      <c r="D142" s="214">
        <f>D145+D147+D149</f>
        <v>12.373000000000001</v>
      </c>
      <c r="E142" s="214">
        <f>E145+E147+E149</f>
        <v>12.555999999999999</v>
      </c>
      <c r="F142" s="214">
        <f>F145+F147+F149</f>
        <v>13.811999999999999</v>
      </c>
      <c r="G142" s="215">
        <f>F142*102.7/100</f>
        <v>14.184924000000001</v>
      </c>
      <c r="H142" s="215">
        <f>F142*104.1/100</f>
        <v>14.378291999999998</v>
      </c>
      <c r="I142" s="215">
        <f>F142*105.4/100</f>
        <v>14.557848</v>
      </c>
    </row>
    <row r="143" spans="1:9" ht="25.5" customHeight="1">
      <c r="A143" s="66"/>
      <c r="B143" s="115" t="s">
        <v>4</v>
      </c>
      <c r="C143" s="87">
        <v>76.7</v>
      </c>
      <c r="D143" s="87">
        <f>D142/C142*100</f>
        <v>115.80868588543618</v>
      </c>
      <c r="E143" s="87">
        <f>E142/D142*100</f>
        <v>101.47902691344055</v>
      </c>
      <c r="F143" s="87">
        <f>F142/E142*100</f>
        <v>110.00318572793884</v>
      </c>
      <c r="G143" s="48">
        <f>G142/F142*100</f>
        <v>102.70000000000002</v>
      </c>
      <c r="H143" s="48">
        <f>H142/F142*100</f>
        <v>104.1</v>
      </c>
      <c r="I143" s="48">
        <f>I142/F142*100</f>
        <v>105.4</v>
      </c>
    </row>
    <row r="144" spans="1:9" ht="15">
      <c r="A144" s="66" t="s">
        <v>12</v>
      </c>
      <c r="B144" s="115"/>
      <c r="C144" s="86"/>
      <c r="D144" s="86"/>
      <c r="E144" s="86"/>
      <c r="F144" s="86"/>
      <c r="G144" s="44"/>
      <c r="H144" s="44"/>
      <c r="I144" s="44"/>
    </row>
    <row r="145" spans="1:14" ht="18" customHeight="1">
      <c r="A145" s="218" t="s">
        <v>17</v>
      </c>
      <c r="B145" s="115" t="s">
        <v>7</v>
      </c>
      <c r="C145" s="86">
        <v>0.85399999999999998</v>
      </c>
      <c r="D145" s="86">
        <v>0.09</v>
      </c>
      <c r="E145" s="86">
        <v>0.09</v>
      </c>
      <c r="F145" s="86">
        <v>9.9000000000000005E-2</v>
      </c>
      <c r="G145" s="61">
        <f>F145*102.7/100</f>
        <v>0.10167300000000001</v>
      </c>
      <c r="H145" s="61">
        <f>F145*104.1/100</f>
        <v>0.103059</v>
      </c>
      <c r="I145" s="61">
        <f>F145*105.4/100</f>
        <v>0.10434600000000001</v>
      </c>
    </row>
    <row r="146" spans="1:14" ht="27.75" customHeight="1">
      <c r="A146" s="219"/>
      <c r="B146" s="115" t="s">
        <v>4</v>
      </c>
      <c r="C146" s="87">
        <v>55.8</v>
      </c>
      <c r="D146" s="87">
        <f>D145/C145*100</f>
        <v>10.538641686182668</v>
      </c>
      <c r="E146" s="87">
        <f>E145/D145*100</f>
        <v>100</v>
      </c>
      <c r="F146" s="87">
        <f>F145/E145*100</f>
        <v>110.00000000000001</v>
      </c>
      <c r="G146" s="48">
        <f>G145/F145*100</f>
        <v>102.70000000000002</v>
      </c>
      <c r="H146" s="48">
        <f>H145/F145*100</f>
        <v>104.1</v>
      </c>
      <c r="I146" s="48">
        <f>I145/F145*100</f>
        <v>105.4</v>
      </c>
    </row>
    <row r="147" spans="1:14" ht="15.75" customHeight="1">
      <c r="A147" s="218" t="s">
        <v>18</v>
      </c>
      <c r="B147" s="115" t="s">
        <v>7</v>
      </c>
      <c r="C147" s="86">
        <v>0.50600000000000001</v>
      </c>
      <c r="D147" s="86">
        <v>1.1200000000000001</v>
      </c>
      <c r="E147" s="86">
        <v>1.129</v>
      </c>
      <c r="F147" s="86">
        <v>1.242</v>
      </c>
      <c r="G147" s="61">
        <f>F147*102.7/100</f>
        <v>1.2755339999999999</v>
      </c>
      <c r="H147" s="61">
        <f>F147*104.1/100</f>
        <v>1.2929219999999999</v>
      </c>
      <c r="I147" s="61">
        <f>F147*105.4/100</f>
        <v>1.3090680000000001</v>
      </c>
    </row>
    <row r="148" spans="1:14" ht="26.25" customHeight="1">
      <c r="A148" s="219"/>
      <c r="B148" s="115" t="s">
        <v>4</v>
      </c>
      <c r="C148" s="87">
        <v>70.099999999999994</v>
      </c>
      <c r="D148" s="87">
        <f>D147/C147*100</f>
        <v>221.34387351778656</v>
      </c>
      <c r="E148" s="87">
        <f>E147/D147*100</f>
        <v>100.80357142857142</v>
      </c>
      <c r="F148" s="87">
        <f>F147/E147*100</f>
        <v>110.0088573959256</v>
      </c>
      <c r="G148" s="48">
        <f>G147/F147*100</f>
        <v>102.69999999999999</v>
      </c>
      <c r="H148" s="48">
        <f>H147/F147*100</f>
        <v>104.1</v>
      </c>
      <c r="I148" s="48">
        <f>I147/F147*100</f>
        <v>105.4</v>
      </c>
    </row>
    <row r="149" spans="1:14" ht="18" customHeight="1">
      <c r="A149" s="218" t="s">
        <v>20</v>
      </c>
      <c r="B149" s="115" t="s">
        <v>7</v>
      </c>
      <c r="C149" s="86">
        <v>9.3239999999999998</v>
      </c>
      <c r="D149" s="86">
        <v>11.163</v>
      </c>
      <c r="E149" s="86">
        <v>11.337</v>
      </c>
      <c r="F149" s="86">
        <v>12.471</v>
      </c>
      <c r="G149" s="61">
        <f>F149*102.7/100</f>
        <v>12.807717</v>
      </c>
      <c r="H149" s="61">
        <f>F149*104.1/100</f>
        <v>12.982310999999999</v>
      </c>
      <c r="I149" s="61">
        <f>F149*105.4/100</f>
        <v>13.144434</v>
      </c>
    </row>
    <row r="150" spans="1:14" ht="24.75" customHeight="1">
      <c r="A150" s="219"/>
      <c r="B150" s="115" t="s">
        <v>4</v>
      </c>
      <c r="C150" s="87">
        <v>79.8</v>
      </c>
      <c r="D150" s="87">
        <f>D149/C149*100</f>
        <v>119.72329472329473</v>
      </c>
      <c r="E150" s="87">
        <f>E149/D149*100</f>
        <v>101.55872077398548</v>
      </c>
      <c r="F150" s="87">
        <f>F149/E149*100</f>
        <v>110.00264620269913</v>
      </c>
      <c r="G150" s="48">
        <f>G149/F149*100</f>
        <v>102.69999999999999</v>
      </c>
      <c r="H150" s="48">
        <f>H149/F149*100</f>
        <v>104.1</v>
      </c>
      <c r="I150" s="48">
        <f>I149/F149*100</f>
        <v>105.4</v>
      </c>
    </row>
    <row r="151" spans="1:14" ht="17.25" customHeight="1">
      <c r="A151" s="71" t="s">
        <v>21</v>
      </c>
      <c r="B151" s="115" t="s">
        <v>7</v>
      </c>
      <c r="C151" s="83">
        <f>C154+C156+C158</f>
        <v>4.032</v>
      </c>
      <c r="D151" s="83">
        <f>D154+D156+D158</f>
        <v>3.831</v>
      </c>
      <c r="E151" s="83">
        <f>E154+E156+E158</f>
        <v>3.83</v>
      </c>
      <c r="F151" s="83">
        <f>F154+F156+F158</f>
        <v>4.2130000000000001</v>
      </c>
      <c r="G151" s="61">
        <f>F151*102.7/100</f>
        <v>4.3267510000000007</v>
      </c>
      <c r="H151" s="61">
        <f>F151*104.1/100</f>
        <v>4.3857329999999992</v>
      </c>
      <c r="I151" s="61">
        <f>F151*105.4/100</f>
        <v>4.4405020000000004</v>
      </c>
    </row>
    <row r="152" spans="1:14" ht="24" customHeight="1">
      <c r="A152" s="66"/>
      <c r="B152" s="115" t="s">
        <v>4</v>
      </c>
      <c r="C152" s="87">
        <v>108.9</v>
      </c>
      <c r="D152" s="87">
        <f>D151/C151*100</f>
        <v>95.014880952380949</v>
      </c>
      <c r="E152" s="87">
        <f>E151/D151*100</f>
        <v>99.973897154789867</v>
      </c>
      <c r="F152" s="87">
        <f>F151/E151*100</f>
        <v>110.00000000000001</v>
      </c>
      <c r="G152" s="44">
        <f>G151/F151*100</f>
        <v>102.70000000000002</v>
      </c>
      <c r="H152" s="44">
        <f>H151/F151*100</f>
        <v>104.09999999999997</v>
      </c>
      <c r="I152" s="44">
        <f>I151/F151*100</f>
        <v>105.4</v>
      </c>
    </row>
    <row r="153" spans="1:14" ht="15">
      <c r="A153" s="66" t="s">
        <v>12</v>
      </c>
      <c r="B153" s="115"/>
      <c r="C153" s="86"/>
      <c r="D153" s="86"/>
      <c r="E153" s="86"/>
      <c r="F153" s="86"/>
      <c r="G153" s="44"/>
      <c r="H153" s="44"/>
      <c r="I153" s="44"/>
    </row>
    <row r="154" spans="1:14" ht="18" customHeight="1">
      <c r="A154" s="218" t="s">
        <v>17</v>
      </c>
      <c r="B154" s="115" t="s">
        <v>7</v>
      </c>
      <c r="C154" s="83"/>
      <c r="D154" s="83">
        <v>1E-3</v>
      </c>
      <c r="E154" s="83">
        <v>2E-3</v>
      </c>
      <c r="F154" s="83">
        <v>2E-3</v>
      </c>
      <c r="G154" s="61">
        <f>F154*102.7/100</f>
        <v>2.0539999999999998E-3</v>
      </c>
      <c r="H154" s="61">
        <f>F154*104.1/100</f>
        <v>2.0820000000000001E-3</v>
      </c>
      <c r="I154" s="61">
        <f>F154*105.4/100</f>
        <v>2.1080000000000001E-3</v>
      </c>
    </row>
    <row r="155" spans="1:14" ht="22.5" customHeight="1">
      <c r="A155" s="219"/>
      <c r="B155" s="115" t="s">
        <v>4</v>
      </c>
      <c r="C155" s="87"/>
      <c r="D155" s="87"/>
      <c r="E155" s="87">
        <f>E154/D154*100</f>
        <v>200</v>
      </c>
      <c r="F155" s="87">
        <f>F154/E154*100</f>
        <v>100</v>
      </c>
      <c r="G155" s="48">
        <f>G154/F154*100</f>
        <v>102.69999999999999</v>
      </c>
      <c r="H155" s="48">
        <f>H154/F154*100</f>
        <v>104.1</v>
      </c>
      <c r="I155" s="48">
        <f>I154/F154*100</f>
        <v>105.4</v>
      </c>
    </row>
    <row r="156" spans="1:14" ht="17.25" customHeight="1">
      <c r="A156" s="218" t="s">
        <v>18</v>
      </c>
      <c r="B156" s="115" t="s">
        <v>7</v>
      </c>
      <c r="C156" s="83">
        <v>0.22500000000000001</v>
      </c>
      <c r="D156" s="83">
        <v>0.161</v>
      </c>
      <c r="E156" s="83">
        <v>0.16200000000000001</v>
      </c>
      <c r="F156" s="83">
        <v>0.17799999999999999</v>
      </c>
      <c r="G156" s="61">
        <f>F156*102.7/100</f>
        <v>0.182806</v>
      </c>
      <c r="H156" s="61">
        <f>F156*104.1/100</f>
        <v>0.18529799999999999</v>
      </c>
      <c r="I156" s="61">
        <f>F156*105.4/100</f>
        <v>0.187612</v>
      </c>
    </row>
    <row r="157" spans="1:14" ht="24" customHeight="1">
      <c r="A157" s="219"/>
      <c r="B157" s="115" t="s">
        <v>4</v>
      </c>
      <c r="C157" s="87">
        <v>140.6</v>
      </c>
      <c r="D157" s="87">
        <f>D156/C156*100</f>
        <v>71.555555555555557</v>
      </c>
      <c r="E157" s="87">
        <f>E156/D156*100</f>
        <v>100.62111801242236</v>
      </c>
      <c r="F157" s="87">
        <f>F156/E156*100</f>
        <v>109.87654320987654</v>
      </c>
      <c r="G157" s="48">
        <f>G156/F156*100</f>
        <v>102.70000000000002</v>
      </c>
      <c r="H157" s="48">
        <f>H156/F156*100</f>
        <v>104.1</v>
      </c>
      <c r="I157" s="48">
        <f>I156/F156*100</f>
        <v>105.4</v>
      </c>
    </row>
    <row r="158" spans="1:14" ht="15.75" customHeight="1">
      <c r="A158" s="218" t="s">
        <v>20</v>
      </c>
      <c r="B158" s="115" t="s">
        <v>7</v>
      </c>
      <c r="C158" s="83">
        <v>3.8069999999999999</v>
      </c>
      <c r="D158" s="83">
        <v>3.669</v>
      </c>
      <c r="E158" s="83">
        <v>3.6659999999999999</v>
      </c>
      <c r="F158" s="83">
        <v>4.0330000000000004</v>
      </c>
      <c r="G158" s="61">
        <f>F158*102.7/100</f>
        <v>4.1418910000000002</v>
      </c>
      <c r="H158" s="61">
        <f>F158*104.1/100</f>
        <v>4.198353</v>
      </c>
      <c r="I158" s="61">
        <f>F158*105.4/100</f>
        <v>4.2507820000000001</v>
      </c>
    </row>
    <row r="159" spans="1:14" ht="24" customHeight="1">
      <c r="A159" s="219"/>
      <c r="B159" s="115" t="s">
        <v>4</v>
      </c>
      <c r="C159" s="87">
        <v>107.5</v>
      </c>
      <c r="D159" s="87">
        <f>D158/C158*100</f>
        <v>96.375098502758078</v>
      </c>
      <c r="E159" s="87">
        <f>E158/D158*100</f>
        <v>99.918233851185605</v>
      </c>
      <c r="F159" s="87">
        <f>F158/E158*100</f>
        <v>110.01091107474087</v>
      </c>
      <c r="G159" s="48">
        <f>G158/F158*100</f>
        <v>102.69999999999999</v>
      </c>
      <c r="H159" s="48">
        <f>H158/F158*100</f>
        <v>104.1</v>
      </c>
      <c r="I159" s="48">
        <f>I158/F158*100</f>
        <v>105.39999999999998</v>
      </c>
    </row>
    <row r="160" spans="1:14" ht="17.25" customHeight="1">
      <c r="A160" s="238" t="s">
        <v>199</v>
      </c>
      <c r="B160" s="115" t="s">
        <v>7</v>
      </c>
      <c r="C160" s="83">
        <f>C163+C165+C167</f>
        <v>0.73599999999999999</v>
      </c>
      <c r="D160" s="83">
        <f>D163+D165+D167</f>
        <v>0.751</v>
      </c>
      <c r="E160" s="83">
        <f>E163+E165+E167</f>
        <v>0.747</v>
      </c>
      <c r="F160" s="83">
        <f>F163+F165+F167</f>
        <v>0.82200000000000006</v>
      </c>
      <c r="G160" s="61">
        <f>F160*105.4/100</f>
        <v>0.86638800000000016</v>
      </c>
      <c r="H160" s="61">
        <f>F160*102.5/100</f>
        <v>0.84255000000000013</v>
      </c>
      <c r="I160" s="61">
        <f>F160*103.9/100</f>
        <v>0.85405800000000009</v>
      </c>
      <c r="J160" s="14"/>
      <c r="K160" s="14"/>
      <c r="L160" s="14"/>
      <c r="M160" s="14"/>
      <c r="N160" s="14"/>
    </row>
    <row r="161" spans="1:9" ht="22.5" customHeight="1">
      <c r="A161" s="239"/>
      <c r="B161" s="115" t="s">
        <v>4</v>
      </c>
      <c r="C161" s="87">
        <v>94.8</v>
      </c>
      <c r="D161" s="87">
        <f>D160/C160*100</f>
        <v>102.03804347826086</v>
      </c>
      <c r="E161" s="87">
        <f>E160/D160*100</f>
        <v>99.467376830892135</v>
      </c>
      <c r="F161" s="87">
        <f>F160/E160*100</f>
        <v>110.0401606425703</v>
      </c>
      <c r="G161" s="48">
        <f>G160/F160*100</f>
        <v>105.4</v>
      </c>
      <c r="H161" s="48">
        <f>H160/F160*100</f>
        <v>102.50000000000001</v>
      </c>
      <c r="I161" s="48">
        <f>I160/F160*100</f>
        <v>103.89999999999999</v>
      </c>
    </row>
    <row r="162" spans="1:9" ht="15" customHeight="1">
      <c r="A162" s="66" t="s">
        <v>12</v>
      </c>
      <c r="B162" s="115"/>
      <c r="C162" s="86"/>
      <c r="D162" s="86"/>
      <c r="E162" s="86"/>
      <c r="F162" s="86"/>
      <c r="G162" s="44"/>
      <c r="H162" s="44"/>
      <c r="I162" s="44"/>
    </row>
    <row r="163" spans="1:9" ht="15" customHeight="1">
      <c r="A163" s="218" t="s">
        <v>17</v>
      </c>
      <c r="B163" s="115" t="s">
        <v>7</v>
      </c>
      <c r="C163" s="83">
        <v>1.0999999999999999E-2</v>
      </c>
      <c r="D163" s="83">
        <v>1.6E-2</v>
      </c>
      <c r="E163" s="83">
        <v>8.9999999999999993E-3</v>
      </c>
      <c r="F163" s="83">
        <v>0.01</v>
      </c>
      <c r="G163" s="61">
        <f>F163*105.4/100</f>
        <v>1.0540000000000001E-2</v>
      </c>
      <c r="H163" s="61">
        <f>F163*102.5/100</f>
        <v>1.0249999999999999E-2</v>
      </c>
      <c r="I163" s="61">
        <f>F163*103.9/100</f>
        <v>1.0390000000000002E-2</v>
      </c>
    </row>
    <row r="164" spans="1:9" ht="15" customHeight="1">
      <c r="A164" s="219"/>
      <c r="B164" s="115" t="s">
        <v>4</v>
      </c>
      <c r="C164" s="87">
        <v>47.8</v>
      </c>
      <c r="D164" s="87">
        <f>D163/C163*100</f>
        <v>145.45454545454547</v>
      </c>
      <c r="E164" s="87">
        <f>E163/D163*100</f>
        <v>56.25</v>
      </c>
      <c r="F164" s="87">
        <f>F163/E163*100</f>
        <v>111.11111111111111</v>
      </c>
      <c r="G164" s="48">
        <f>G163/F163*100</f>
        <v>105.4</v>
      </c>
      <c r="H164" s="48">
        <f>H163/F163*100</f>
        <v>102.49999999999999</v>
      </c>
      <c r="I164" s="48">
        <f>I163/F163*100</f>
        <v>103.90000000000002</v>
      </c>
    </row>
    <row r="165" spans="1:9" ht="15" customHeight="1">
      <c r="A165" s="218" t="s">
        <v>18</v>
      </c>
      <c r="B165" s="115" t="s">
        <v>7</v>
      </c>
      <c r="C165" s="83">
        <v>2.1999999999999999E-2</v>
      </c>
      <c r="D165" s="83">
        <v>8.0000000000000002E-3</v>
      </c>
      <c r="E165" s="83">
        <v>6.0000000000000001E-3</v>
      </c>
      <c r="F165" s="83">
        <v>7.0000000000000001E-3</v>
      </c>
      <c r="G165" s="61">
        <f>F165*105.4/100</f>
        <v>7.378E-3</v>
      </c>
      <c r="H165" s="61">
        <f>F165*102.5/100</f>
        <v>7.175E-3</v>
      </c>
      <c r="I165" s="61">
        <f>F165*103.9/100</f>
        <v>7.2730000000000008E-3</v>
      </c>
    </row>
    <row r="166" spans="1:9" ht="15" customHeight="1">
      <c r="A166" s="219"/>
      <c r="B166" s="115" t="s">
        <v>4</v>
      </c>
      <c r="C166" s="87">
        <v>48.9</v>
      </c>
      <c r="D166" s="87">
        <f>D165/C165*100</f>
        <v>36.363636363636367</v>
      </c>
      <c r="E166" s="87">
        <f>E165/D165*100</f>
        <v>75</v>
      </c>
      <c r="F166" s="87">
        <f>F165/E165*100</f>
        <v>116.66666666666667</v>
      </c>
      <c r="G166" s="48">
        <f>G165/F165*100</f>
        <v>105.4</v>
      </c>
      <c r="H166" s="48">
        <f>H165/F165*100</f>
        <v>102.49999999999999</v>
      </c>
      <c r="I166" s="48">
        <f>I165/F165*100</f>
        <v>103.90000000000002</v>
      </c>
    </row>
    <row r="167" spans="1:9" ht="15" customHeight="1">
      <c r="A167" s="218" t="s">
        <v>20</v>
      </c>
      <c r="B167" s="115" t="s">
        <v>7</v>
      </c>
      <c r="C167" s="83">
        <v>0.70299999999999996</v>
      </c>
      <c r="D167" s="83">
        <v>0.72699999999999998</v>
      </c>
      <c r="E167" s="83">
        <v>0.73199999999999998</v>
      </c>
      <c r="F167" s="83">
        <v>0.80500000000000005</v>
      </c>
      <c r="G167" s="61">
        <f>F167*105.4/100</f>
        <v>0.84847000000000006</v>
      </c>
      <c r="H167" s="61">
        <f>F167*102.5/100</f>
        <v>0.825125</v>
      </c>
      <c r="I167" s="61">
        <f>F167*103.9/100</f>
        <v>0.83639500000000011</v>
      </c>
    </row>
    <row r="168" spans="1:9" ht="15" customHeight="1">
      <c r="A168" s="219"/>
      <c r="B168" s="115" t="s">
        <v>4</v>
      </c>
      <c r="C168" s="87">
        <v>99.3</v>
      </c>
      <c r="D168" s="87">
        <f>D167/C167*100</f>
        <v>103.41394025604554</v>
      </c>
      <c r="E168" s="87">
        <f>E167/D167*100</f>
        <v>100.68775790921596</v>
      </c>
      <c r="F168" s="87">
        <f>F167/E167*100</f>
        <v>109.97267759562843</v>
      </c>
      <c r="G168" s="48">
        <f>G167/F167*100</f>
        <v>105.4</v>
      </c>
      <c r="H168" s="48">
        <f>H167/F167*100</f>
        <v>102.49999999999999</v>
      </c>
      <c r="I168" s="48">
        <f>I167/F167*100</f>
        <v>103.90000000000002</v>
      </c>
    </row>
    <row r="169" spans="1:9" ht="16.5" customHeight="1">
      <c r="A169" s="71" t="s">
        <v>22</v>
      </c>
      <c r="B169" s="115" t="s">
        <v>7</v>
      </c>
      <c r="C169" s="83">
        <f>C172+C174+C176</f>
        <v>4.3879999999999999</v>
      </c>
      <c r="D169" s="83">
        <f>D172+D174+D176</f>
        <v>4.1069999999999993</v>
      </c>
      <c r="E169" s="83">
        <f>E172+E174+E176</f>
        <v>4.1790000000000003</v>
      </c>
      <c r="F169" s="83">
        <f>F172+F174+F176</f>
        <v>4.5969999999999995</v>
      </c>
      <c r="G169" s="61">
        <f>F169*105.4/100</f>
        <v>4.8452380000000002</v>
      </c>
      <c r="H169" s="61">
        <f>F169*102.5/100</f>
        <v>4.711924999999999</v>
      </c>
      <c r="I169" s="61">
        <f>F169*103.9/100</f>
        <v>4.7762829999999994</v>
      </c>
    </row>
    <row r="170" spans="1:9" ht="15" customHeight="1">
      <c r="A170" s="66"/>
      <c r="B170" s="115" t="s">
        <v>4</v>
      </c>
      <c r="C170" s="87">
        <v>104.5</v>
      </c>
      <c r="D170" s="87">
        <f>D169/C169*100</f>
        <v>93.596171376481294</v>
      </c>
      <c r="E170" s="87">
        <f>E169/D169*100</f>
        <v>101.75310445580719</v>
      </c>
      <c r="F170" s="87">
        <f>F169/E169*100</f>
        <v>110.00239291696576</v>
      </c>
      <c r="G170" s="48">
        <f>G169/F169*100</f>
        <v>105.4</v>
      </c>
      <c r="H170" s="48">
        <f>H169/F169*100</f>
        <v>102.49999999999999</v>
      </c>
      <c r="I170" s="48">
        <f>I169/F169*100</f>
        <v>103.89999999999999</v>
      </c>
    </row>
    <row r="171" spans="1:9" ht="15" customHeight="1">
      <c r="A171" s="66" t="s">
        <v>12</v>
      </c>
      <c r="B171" s="115"/>
      <c r="C171" s="86"/>
      <c r="D171" s="86"/>
      <c r="E171" s="86"/>
      <c r="F171" s="86"/>
      <c r="G171" s="44"/>
      <c r="H171" s="44"/>
      <c r="I171" s="44"/>
    </row>
    <row r="172" spans="1:9" ht="15" customHeight="1">
      <c r="A172" s="218" t="s">
        <v>17</v>
      </c>
      <c r="B172" s="115" t="s">
        <v>7</v>
      </c>
      <c r="C172" s="83">
        <v>0.104</v>
      </c>
      <c r="D172" s="83">
        <v>1.7000000000000001E-2</v>
      </c>
      <c r="E172" s="83">
        <v>0</v>
      </c>
      <c r="F172" s="83">
        <v>0</v>
      </c>
      <c r="G172" s="61">
        <v>0</v>
      </c>
      <c r="H172" s="61">
        <v>0</v>
      </c>
      <c r="I172" s="61">
        <v>0</v>
      </c>
    </row>
    <row r="173" spans="1:9" ht="15" customHeight="1">
      <c r="A173" s="219"/>
      <c r="B173" s="115" t="s">
        <v>4</v>
      </c>
      <c r="C173" s="87">
        <v>71.7</v>
      </c>
      <c r="D173" s="87">
        <f>D172/C172*100</f>
        <v>16.34615384615385</v>
      </c>
      <c r="E173" s="87">
        <v>0</v>
      </c>
      <c r="F173" s="87">
        <v>0</v>
      </c>
      <c r="G173" s="48">
        <v>0</v>
      </c>
      <c r="H173" s="48">
        <v>0</v>
      </c>
      <c r="I173" s="48">
        <v>0</v>
      </c>
    </row>
    <row r="174" spans="1:9" ht="15" customHeight="1">
      <c r="A174" s="218" t="s">
        <v>18</v>
      </c>
      <c r="B174" s="115" t="s">
        <v>7</v>
      </c>
      <c r="C174" s="83">
        <v>0.29599999999999999</v>
      </c>
      <c r="D174" s="83">
        <v>7.0000000000000007E-2</v>
      </c>
      <c r="E174" s="83">
        <v>8.5999999999999993E-2</v>
      </c>
      <c r="F174" s="83">
        <v>9.5000000000000001E-2</v>
      </c>
      <c r="G174" s="61">
        <f>F174*105.4/100</f>
        <v>0.10013</v>
      </c>
      <c r="H174" s="61">
        <f>F174*102.5/100</f>
        <v>9.7375000000000003E-2</v>
      </c>
      <c r="I174" s="61">
        <f>F174*103.9/100</f>
        <v>9.8705000000000001E-2</v>
      </c>
    </row>
    <row r="175" spans="1:9" ht="15" customHeight="1">
      <c r="A175" s="219"/>
      <c r="B175" s="115" t="s">
        <v>4</v>
      </c>
      <c r="C175" s="87">
        <v>264.3</v>
      </c>
      <c r="D175" s="87">
        <f>D174/C174*100</f>
        <v>23.648648648648653</v>
      </c>
      <c r="E175" s="87">
        <f>E174/D174*100</f>
        <v>122.85714285714285</v>
      </c>
      <c r="F175" s="87">
        <f>F174/E174*100</f>
        <v>110.46511627906979</v>
      </c>
      <c r="G175" s="48">
        <f>G174/F174*100</f>
        <v>105.4</v>
      </c>
      <c r="H175" s="48">
        <f>H174/F174*100</f>
        <v>102.49999999999999</v>
      </c>
      <c r="I175" s="48">
        <f>I174/F174*100</f>
        <v>103.89999999999999</v>
      </c>
    </row>
    <row r="176" spans="1:9" ht="15" customHeight="1">
      <c r="A176" s="218" t="s">
        <v>20</v>
      </c>
      <c r="B176" s="115" t="s">
        <v>7</v>
      </c>
      <c r="C176" s="83">
        <v>3.988</v>
      </c>
      <c r="D176" s="83">
        <v>4.0199999999999996</v>
      </c>
      <c r="E176" s="83">
        <v>4.093</v>
      </c>
      <c r="F176" s="83">
        <v>4.5019999999999998</v>
      </c>
      <c r="G176" s="61">
        <f>F176*105.4/100</f>
        <v>4.7451080000000001</v>
      </c>
      <c r="H176" s="61">
        <f>F176*102.5/100</f>
        <v>4.6145499999999995</v>
      </c>
      <c r="I176" s="61">
        <f>F176*103.9/100</f>
        <v>4.6775779999999996</v>
      </c>
    </row>
    <row r="177" spans="1:10" ht="15" customHeight="1">
      <c r="A177" s="219"/>
      <c r="B177" s="115" t="s">
        <v>4</v>
      </c>
      <c r="C177" s="87">
        <v>101.2</v>
      </c>
      <c r="D177" s="87">
        <f>D176/C176*100</f>
        <v>100.80240722166498</v>
      </c>
      <c r="E177" s="87">
        <f>E176/D176*100</f>
        <v>101.81592039800995</v>
      </c>
      <c r="F177" s="87">
        <f>F176/E176*100</f>
        <v>109.99267041290007</v>
      </c>
      <c r="G177" s="48">
        <f>G176/F176*100</f>
        <v>105.4</v>
      </c>
      <c r="H177" s="48">
        <f>H176/F176*100</f>
        <v>102.49999999999999</v>
      </c>
      <c r="I177" s="48">
        <f>I176/F176*100</f>
        <v>103.89999999999999</v>
      </c>
    </row>
    <row r="178" spans="1:10" ht="15">
      <c r="A178" s="238" t="s">
        <v>23</v>
      </c>
      <c r="B178" s="115" t="s">
        <v>33</v>
      </c>
      <c r="C178" s="86">
        <f>C181+C183+C185</f>
        <v>0.51200000000000001</v>
      </c>
      <c r="D178" s="86">
        <f>D181+D183+D185</f>
        <v>0.47899999999999998</v>
      </c>
      <c r="E178" s="86">
        <f>E181+E183+E185</f>
        <v>0.53700000000000003</v>
      </c>
      <c r="F178" s="86">
        <f>F181+F183+F185</f>
        <v>0.59</v>
      </c>
      <c r="G178" s="61">
        <f>F178*105.4/100</f>
        <v>0.62185999999999997</v>
      </c>
      <c r="H178" s="61">
        <f>F178*102.5/100</f>
        <v>0.6047499999999999</v>
      </c>
      <c r="I178" s="61">
        <f>F178*103.9/100</f>
        <v>0.61301000000000005</v>
      </c>
    </row>
    <row r="179" spans="1:10" ht="22.5" customHeight="1">
      <c r="A179" s="239"/>
      <c r="B179" s="115" t="s">
        <v>4</v>
      </c>
      <c r="C179" s="87">
        <v>110.1</v>
      </c>
      <c r="D179" s="87">
        <f>D178/C178*100</f>
        <v>93.554687499999986</v>
      </c>
      <c r="E179" s="87">
        <f>E178/D178*100</f>
        <v>112.10855949895617</v>
      </c>
      <c r="F179" s="87">
        <f>F178/E178*100</f>
        <v>109.86964618249533</v>
      </c>
      <c r="G179" s="48">
        <f>G178/F178*100</f>
        <v>105.4</v>
      </c>
      <c r="H179" s="48">
        <f>H178/F178*100</f>
        <v>102.49999999999999</v>
      </c>
      <c r="I179" s="48">
        <f>I178/F178*100</f>
        <v>103.90000000000002</v>
      </c>
    </row>
    <row r="180" spans="1:10" ht="15" customHeight="1">
      <c r="A180" s="66" t="s">
        <v>12</v>
      </c>
      <c r="B180" s="115"/>
      <c r="C180" s="86"/>
      <c r="D180" s="86"/>
      <c r="E180" s="86"/>
      <c r="F180" s="86"/>
      <c r="G180" s="44"/>
      <c r="H180" s="44"/>
      <c r="I180" s="44"/>
    </row>
    <row r="181" spans="1:10" ht="15" customHeight="1">
      <c r="A181" s="218" t="s">
        <v>17</v>
      </c>
      <c r="B181" s="115" t="s">
        <v>33</v>
      </c>
      <c r="C181" s="86">
        <v>0</v>
      </c>
      <c r="D181" s="86">
        <v>0</v>
      </c>
      <c r="E181" s="86">
        <v>0</v>
      </c>
      <c r="F181" s="86">
        <v>0</v>
      </c>
      <c r="G181" s="44">
        <v>0</v>
      </c>
      <c r="H181" s="44">
        <v>0</v>
      </c>
      <c r="I181" s="44">
        <v>0</v>
      </c>
    </row>
    <row r="182" spans="1:10" ht="26.25" customHeight="1">
      <c r="A182" s="219"/>
      <c r="B182" s="115" t="s">
        <v>4</v>
      </c>
      <c r="C182" s="86">
        <v>0</v>
      </c>
      <c r="D182" s="86">
        <v>0</v>
      </c>
      <c r="E182" s="86">
        <v>0</v>
      </c>
      <c r="F182" s="86">
        <v>0</v>
      </c>
      <c r="G182" s="44">
        <v>0</v>
      </c>
      <c r="H182" s="44">
        <v>0</v>
      </c>
      <c r="I182" s="44">
        <v>0</v>
      </c>
    </row>
    <row r="183" spans="1:10" ht="15" customHeight="1">
      <c r="A183" s="218" t="s">
        <v>18</v>
      </c>
      <c r="B183" s="115" t="s">
        <v>33</v>
      </c>
      <c r="C183" s="83">
        <v>1.2E-2</v>
      </c>
      <c r="D183" s="83">
        <v>3.0000000000000001E-3</v>
      </c>
      <c r="E183" s="83">
        <v>4.0000000000000001E-3</v>
      </c>
      <c r="F183" s="83">
        <v>4.0000000000000001E-3</v>
      </c>
      <c r="G183" s="61">
        <f>F183*105.4/100</f>
        <v>4.2160000000000001E-3</v>
      </c>
      <c r="H183" s="61">
        <f>F183*102.5/100</f>
        <v>4.1000000000000003E-3</v>
      </c>
      <c r="I183" s="61">
        <f>F183*103.9/100</f>
        <v>4.156E-3</v>
      </c>
    </row>
    <row r="184" spans="1:10" ht="28.5" customHeight="1">
      <c r="A184" s="219"/>
      <c r="B184" s="115" t="s">
        <v>4</v>
      </c>
      <c r="C184" s="87">
        <v>109.1</v>
      </c>
      <c r="D184" s="87">
        <f>D183/C183*100</f>
        <v>25</v>
      </c>
      <c r="E184" s="87">
        <f>E183/D183*100</f>
        <v>133.33333333333331</v>
      </c>
      <c r="F184" s="87">
        <f>F183/E183*100</f>
        <v>100</v>
      </c>
      <c r="G184" s="48">
        <f>G183/F183*100</f>
        <v>105.4</v>
      </c>
      <c r="H184" s="48">
        <f>H183/F183*100</f>
        <v>102.50000000000001</v>
      </c>
      <c r="I184" s="48">
        <f>I183/F183*100</f>
        <v>103.89999999999999</v>
      </c>
    </row>
    <row r="185" spans="1:10" ht="15" customHeight="1">
      <c r="A185" s="218" t="s">
        <v>20</v>
      </c>
      <c r="B185" s="115" t="s">
        <v>33</v>
      </c>
      <c r="C185" s="83">
        <v>0.5</v>
      </c>
      <c r="D185" s="83">
        <v>0.47599999999999998</v>
      </c>
      <c r="E185" s="83">
        <v>0.53300000000000003</v>
      </c>
      <c r="F185" s="83">
        <v>0.58599999999999997</v>
      </c>
      <c r="G185" s="61">
        <f>F185*105.4/100</f>
        <v>0.61764399999999997</v>
      </c>
      <c r="H185" s="61">
        <f>F185*102.5/100</f>
        <v>0.60065000000000002</v>
      </c>
      <c r="I185" s="61">
        <f>F185*103.9/100</f>
        <v>0.60885400000000001</v>
      </c>
    </row>
    <row r="186" spans="1:10" ht="27.75" customHeight="1">
      <c r="A186" s="219"/>
      <c r="B186" s="115" t="s">
        <v>4</v>
      </c>
      <c r="C186" s="87">
        <v>110.1</v>
      </c>
      <c r="D186" s="87">
        <f>D185/C185*100</f>
        <v>95.199999999999989</v>
      </c>
      <c r="E186" s="87">
        <f>E185/D185*100</f>
        <v>111.97478991596638</v>
      </c>
      <c r="F186" s="87">
        <f>F185/E185*100</f>
        <v>109.94371482176359</v>
      </c>
      <c r="G186" s="48">
        <f>G185/F185*100</f>
        <v>105.4</v>
      </c>
      <c r="H186" s="48">
        <f>H185/F185*100</f>
        <v>102.50000000000001</v>
      </c>
      <c r="I186" s="48">
        <f>I185/F185*100</f>
        <v>103.90000000000002</v>
      </c>
    </row>
    <row r="187" spans="1:10" ht="46.5" customHeight="1">
      <c r="A187" s="71" t="s">
        <v>24</v>
      </c>
      <c r="B187" s="115"/>
      <c r="C187" s="86"/>
      <c r="D187" s="86"/>
      <c r="E187" s="86"/>
      <c r="F187" s="86"/>
      <c r="G187" s="44"/>
      <c r="H187" s="44"/>
      <c r="I187" s="44"/>
    </row>
    <row r="188" spans="1:10" ht="15" customHeight="1">
      <c r="A188" s="66" t="s">
        <v>25</v>
      </c>
      <c r="B188" s="115" t="s">
        <v>34</v>
      </c>
      <c r="C188" s="86">
        <v>0.105</v>
      </c>
      <c r="D188" s="86">
        <v>6.7000000000000004E-2</v>
      </c>
      <c r="E188" s="86">
        <v>0.27600000000000002</v>
      </c>
      <c r="F188" s="86">
        <v>0.27600000000000002</v>
      </c>
      <c r="G188" s="61">
        <f>F188*102.7/100</f>
        <v>0.28345200000000004</v>
      </c>
      <c r="H188" s="61">
        <f>F188*104.1/100</f>
        <v>0.28731600000000002</v>
      </c>
      <c r="I188" s="61">
        <f>F188*105.4/100</f>
        <v>0.29090400000000005</v>
      </c>
      <c r="J188" s="23"/>
    </row>
    <row r="189" spans="1:10" ht="15" customHeight="1">
      <c r="A189" s="66" t="s">
        <v>26</v>
      </c>
      <c r="B189" s="115" t="s">
        <v>34</v>
      </c>
      <c r="C189" s="86">
        <v>0.83099999999999996</v>
      </c>
      <c r="D189" s="86">
        <v>0.76800000000000002</v>
      </c>
      <c r="E189" s="86">
        <v>0.77400000000000002</v>
      </c>
      <c r="F189" s="86">
        <v>0.85099999999999998</v>
      </c>
      <c r="G189" s="61">
        <f>F189*102.7/100</f>
        <v>0.873977</v>
      </c>
      <c r="H189" s="61">
        <f>F189*104.1/100</f>
        <v>0.88589099999999987</v>
      </c>
      <c r="I189" s="61">
        <f>F189*105.4/100</f>
        <v>0.89695400000000003</v>
      </c>
    </row>
    <row r="190" spans="1:10" ht="15" customHeight="1">
      <c r="A190" s="66" t="s">
        <v>27</v>
      </c>
      <c r="B190" s="115" t="s">
        <v>34</v>
      </c>
      <c r="C190" s="86">
        <v>0.13700000000000001</v>
      </c>
      <c r="D190" s="86">
        <v>0.13700000000000001</v>
      </c>
      <c r="E190" s="86">
        <v>0.13800000000000001</v>
      </c>
      <c r="F190" s="86">
        <v>0.152</v>
      </c>
      <c r="G190" s="61">
        <f>F190*102.7/100</f>
        <v>0.15610399999999999</v>
      </c>
      <c r="H190" s="61">
        <f>F190*104.1/100</f>
        <v>0.15823199999999998</v>
      </c>
      <c r="I190" s="61">
        <f>F190*105.4/100</f>
        <v>0.16020800000000002</v>
      </c>
    </row>
    <row r="191" spans="1:10" ht="33" customHeight="1">
      <c r="A191" s="71" t="s">
        <v>95</v>
      </c>
      <c r="B191" s="115"/>
      <c r="C191" s="86"/>
      <c r="D191" s="86"/>
      <c r="E191" s="86"/>
      <c r="F191" s="86"/>
      <c r="G191" s="44"/>
      <c r="H191" s="44"/>
      <c r="I191" s="44"/>
    </row>
    <row r="192" spans="1:10" ht="15" customHeight="1">
      <c r="A192" s="66" t="s">
        <v>28</v>
      </c>
      <c r="B192" s="115" t="s">
        <v>35</v>
      </c>
      <c r="C192" s="83">
        <v>2.1030000000000002</v>
      </c>
      <c r="D192" s="83">
        <v>2.1520000000000001</v>
      </c>
      <c r="E192" s="83">
        <v>2.0950000000000002</v>
      </c>
      <c r="F192" s="83">
        <v>2.3039999999999998</v>
      </c>
      <c r="G192" s="61">
        <f>F192*105.4/100</f>
        <v>2.4284159999999999</v>
      </c>
      <c r="H192" s="61">
        <f>F192*102.5/100</f>
        <v>2.3615999999999997</v>
      </c>
      <c r="I192" s="61">
        <f>F192*103.9/100</f>
        <v>2.393856</v>
      </c>
    </row>
    <row r="193" spans="1:14" ht="15" customHeight="1">
      <c r="A193" s="66" t="s">
        <v>29</v>
      </c>
      <c r="B193" s="115" t="s">
        <v>35</v>
      </c>
      <c r="C193" s="83">
        <v>1.056</v>
      </c>
      <c r="D193" s="83">
        <v>1.107</v>
      </c>
      <c r="E193" s="83">
        <v>1.121</v>
      </c>
      <c r="F193" s="83">
        <v>1.2330000000000001</v>
      </c>
      <c r="G193" s="61">
        <f>F193*105.4/100</f>
        <v>1.299582</v>
      </c>
      <c r="H193" s="61">
        <f>F193*102.5/100</f>
        <v>1.263825</v>
      </c>
      <c r="I193" s="61">
        <f>F193*103.9/100</f>
        <v>1.2810870000000003</v>
      </c>
    </row>
    <row r="194" spans="1:14" ht="15" customHeight="1">
      <c r="A194" s="66" t="s">
        <v>30</v>
      </c>
      <c r="B194" s="115" t="s">
        <v>35</v>
      </c>
      <c r="C194" s="86">
        <v>0.441</v>
      </c>
      <c r="D194" s="86">
        <v>0.53900000000000003</v>
      </c>
      <c r="E194" s="86">
        <v>0.52100000000000002</v>
      </c>
      <c r="F194" s="86">
        <v>0.57299999999999995</v>
      </c>
      <c r="G194" s="61">
        <f>F194*105.4/100</f>
        <v>0.60394199999999998</v>
      </c>
      <c r="H194" s="61">
        <f>F194*102.5/100</f>
        <v>0.58732499999999999</v>
      </c>
      <c r="I194" s="61">
        <f>F194*103.9/100</f>
        <v>0.59534699999999996</v>
      </c>
    </row>
    <row r="195" spans="1:14" ht="15" customHeight="1">
      <c r="A195" s="66" t="s">
        <v>31</v>
      </c>
      <c r="B195" s="115" t="s">
        <v>35</v>
      </c>
      <c r="C195" s="83">
        <v>2.8420000000000001</v>
      </c>
      <c r="D195" s="83">
        <v>2.8959999999999999</v>
      </c>
      <c r="E195" s="83">
        <v>2.9729999999999999</v>
      </c>
      <c r="F195" s="83">
        <v>3.27</v>
      </c>
      <c r="G195" s="61">
        <f>F195*105.4/100</f>
        <v>3.44658</v>
      </c>
      <c r="H195" s="61">
        <f>F195*102.5/100</f>
        <v>3.35175</v>
      </c>
      <c r="I195" s="61">
        <f>F195*103.9/100</f>
        <v>3.3975300000000006</v>
      </c>
    </row>
    <row r="196" spans="1:14" s="19" customFormat="1" ht="20.25" customHeight="1">
      <c r="A196" s="223" t="s">
        <v>101</v>
      </c>
      <c r="B196" s="223"/>
      <c r="C196" s="223"/>
      <c r="D196" s="223"/>
      <c r="E196" s="223"/>
      <c r="F196" s="223"/>
      <c r="G196" s="223"/>
      <c r="H196" s="223"/>
      <c r="I196" s="223"/>
    </row>
    <row r="197" spans="1:14" ht="42.75" customHeight="1">
      <c r="A197" s="72" t="s">
        <v>39</v>
      </c>
      <c r="B197" s="98"/>
      <c r="C197" s="159"/>
      <c r="D197" s="159"/>
      <c r="E197" s="180"/>
      <c r="F197" s="159"/>
      <c r="G197" s="159"/>
      <c r="H197" s="160"/>
      <c r="I197" s="160"/>
    </row>
    <row r="198" spans="1:14" ht="27.75" customHeight="1">
      <c r="A198" s="73" t="s">
        <v>1</v>
      </c>
      <c r="B198" s="98" t="s">
        <v>6</v>
      </c>
      <c r="C198" s="161">
        <f>C200+0.749+59.9</f>
        <v>428.05</v>
      </c>
      <c r="D198" s="161">
        <f>D200+1.516+46.4</f>
        <v>934.74599999999987</v>
      </c>
      <c r="E198" s="181">
        <f>E200+7.5872+1.204+41</f>
        <v>2347.2151999999996</v>
      </c>
      <c r="F198" s="161">
        <f>F200+8.08+48</f>
        <v>496.11399999999998</v>
      </c>
      <c r="G198" s="161">
        <f>G200+11.52</f>
        <v>363.02100000000002</v>
      </c>
      <c r="H198" s="161">
        <f>H200+7.7</f>
        <v>242.13099999999997</v>
      </c>
      <c r="I198" s="161">
        <f>I200+8.4</f>
        <v>244.41</v>
      </c>
    </row>
    <row r="199" spans="1:14" ht="24.75" customHeight="1">
      <c r="A199" s="73" t="s">
        <v>13</v>
      </c>
      <c r="B199" s="98" t="s">
        <v>4</v>
      </c>
      <c r="C199" s="156">
        <f>C198/1.068/1602*100</f>
        <v>25.018469422585067</v>
      </c>
      <c r="D199" s="156">
        <f>D198/1.06/C198*100</f>
        <v>206.01234646807697</v>
      </c>
      <c r="E199" s="182">
        <f>E198/1.1033/D198*100</f>
        <v>227.59655040480084</v>
      </c>
      <c r="F199" s="156">
        <f>F198/1.101/E198*100</f>
        <v>19.197348760425793</v>
      </c>
      <c r="G199" s="155">
        <f>G198/1.073/F198*100</f>
        <v>68.194687583473794</v>
      </c>
      <c r="H199" s="155">
        <f>H198/1.065/G198*100</f>
        <v>62.628071555968525</v>
      </c>
      <c r="I199" s="155">
        <f>I198/1.062/H198*100</f>
        <v>95.048235433650845</v>
      </c>
    </row>
    <row r="200" spans="1:14" ht="31.5" customHeight="1">
      <c r="A200" s="75" t="s">
        <v>268</v>
      </c>
      <c r="B200" s="99"/>
      <c r="C200" s="161">
        <f>C202+C211+C214+C217+C220+C223+C226+C229+C232+62.629+2.413</f>
        <v>367.40100000000001</v>
      </c>
      <c r="D200" s="161">
        <f>D202+D211+D214+D217+D220+D223+D226+D229+D232+14.174+3.838</f>
        <v>886.82999999999993</v>
      </c>
      <c r="E200" s="181">
        <f>E202+E205+E208+E211+E214+E217+E220+E223+E226+E229+E232+9.22+5.475</f>
        <v>2297.4239999999995</v>
      </c>
      <c r="F200" s="161">
        <f>F202+F211+F214+F217+F220+F223+F226+F229+F232+10+3.2</f>
        <v>440.03399999999999</v>
      </c>
      <c r="G200" s="161">
        <f>G202+G211+G214+G217+G220+G223+G226+G229+G232+12+37.7</f>
        <v>351.50100000000003</v>
      </c>
      <c r="H200" s="161">
        <f>H202+H211+H214+H217+H220+H223+H226+H229+H232+15+3.8</f>
        <v>234.43099999999998</v>
      </c>
      <c r="I200" s="161">
        <f>I202+I211+I214+I217+I220+I223+I226+I229+I232+18+4</f>
        <v>236.01</v>
      </c>
      <c r="J200" s="24"/>
      <c r="K200" s="24"/>
      <c r="L200" s="24"/>
      <c r="M200" s="24"/>
      <c r="N200" s="24"/>
    </row>
    <row r="201" spans="1:14" s="21" customFormat="1" ht="27.75" customHeight="1">
      <c r="A201" s="116" t="s">
        <v>143</v>
      </c>
      <c r="B201" s="117"/>
      <c r="C201" s="139"/>
      <c r="D201" s="139"/>
      <c r="E201" s="133"/>
      <c r="F201" s="162"/>
      <c r="G201" s="149"/>
      <c r="H201" s="149"/>
      <c r="I201" s="149"/>
    </row>
    <row r="202" spans="1:14" ht="22.5">
      <c r="A202" s="76" t="s">
        <v>1</v>
      </c>
      <c r="B202" s="99" t="s">
        <v>6</v>
      </c>
      <c r="C202" s="156">
        <v>0</v>
      </c>
      <c r="D202" s="156">
        <v>0</v>
      </c>
      <c r="E202" s="182">
        <v>0</v>
      </c>
      <c r="F202" s="156">
        <v>0</v>
      </c>
      <c r="G202" s="156">
        <v>0</v>
      </c>
      <c r="H202" s="156">
        <v>0</v>
      </c>
      <c r="I202" s="156">
        <v>0</v>
      </c>
    </row>
    <row r="203" spans="1:14" ht="27" customHeight="1">
      <c r="A203" s="76" t="s">
        <v>13</v>
      </c>
      <c r="B203" s="99" t="s">
        <v>4</v>
      </c>
      <c r="C203" s="156"/>
      <c r="D203" s="156"/>
      <c r="E203" s="182"/>
      <c r="F203" s="156"/>
      <c r="G203" s="156"/>
      <c r="H203" s="156"/>
      <c r="I203" s="156"/>
    </row>
    <row r="204" spans="1:14" ht="14.25">
      <c r="A204" s="75" t="s">
        <v>144</v>
      </c>
      <c r="B204" s="99"/>
      <c r="C204" s="156"/>
      <c r="D204" s="156"/>
      <c r="E204" s="182"/>
      <c r="F204" s="156"/>
      <c r="G204" s="156"/>
      <c r="H204" s="156"/>
      <c r="I204" s="156"/>
    </row>
    <row r="205" spans="1:14" ht="22.5">
      <c r="A205" s="76" t="s">
        <v>1</v>
      </c>
      <c r="B205" s="99" t="s">
        <v>6</v>
      </c>
      <c r="C205" s="156">
        <v>0</v>
      </c>
      <c r="D205" s="156">
        <v>0</v>
      </c>
      <c r="E205" s="182">
        <v>0</v>
      </c>
      <c r="F205" s="156">
        <v>0</v>
      </c>
      <c r="G205" s="156">
        <v>0</v>
      </c>
      <c r="H205" s="156">
        <v>0</v>
      </c>
      <c r="I205" s="156">
        <v>0</v>
      </c>
    </row>
    <row r="206" spans="1:14" ht="28.5" customHeight="1">
      <c r="A206" s="76" t="s">
        <v>13</v>
      </c>
      <c r="B206" s="99" t="s">
        <v>4</v>
      </c>
      <c r="C206" s="156"/>
      <c r="D206" s="156"/>
      <c r="E206" s="182"/>
      <c r="F206" s="156"/>
      <c r="G206" s="156"/>
      <c r="H206" s="156"/>
      <c r="I206" s="156"/>
    </row>
    <row r="207" spans="1:14" s="21" customFormat="1" ht="14.25">
      <c r="A207" s="226" t="s">
        <v>145</v>
      </c>
      <c r="B207" s="226"/>
      <c r="C207" s="156"/>
      <c r="D207" s="156"/>
      <c r="E207" s="182"/>
      <c r="F207" s="156"/>
      <c r="G207" s="156"/>
      <c r="H207" s="156"/>
      <c r="I207" s="156"/>
    </row>
    <row r="208" spans="1:14" ht="22.5">
      <c r="A208" s="76" t="s">
        <v>1</v>
      </c>
      <c r="B208" s="99" t="s">
        <v>6</v>
      </c>
      <c r="C208" s="156">
        <v>0</v>
      </c>
      <c r="D208" s="156">
        <v>0</v>
      </c>
      <c r="E208" s="182">
        <v>0</v>
      </c>
      <c r="F208" s="156">
        <v>0</v>
      </c>
      <c r="G208" s="156">
        <v>0</v>
      </c>
      <c r="H208" s="156">
        <v>0</v>
      </c>
      <c r="I208" s="156">
        <v>0</v>
      </c>
    </row>
    <row r="209" spans="1:9" ht="27" customHeight="1">
      <c r="A209" s="76" t="s">
        <v>13</v>
      </c>
      <c r="B209" s="99" t="s">
        <v>4</v>
      </c>
      <c r="C209" s="156"/>
      <c r="D209" s="156"/>
      <c r="E209" s="182"/>
      <c r="F209" s="155"/>
      <c r="G209" s="149"/>
      <c r="H209" s="149"/>
      <c r="I209" s="149"/>
    </row>
    <row r="210" spans="1:9" s="21" customFormat="1" ht="15" customHeight="1">
      <c r="A210" s="224" t="s">
        <v>146</v>
      </c>
      <c r="B210" s="225"/>
      <c r="C210" s="156"/>
      <c r="D210" s="156"/>
      <c r="E210" s="182"/>
      <c r="F210" s="155"/>
      <c r="G210" s="149"/>
      <c r="H210" s="149"/>
      <c r="I210" s="149"/>
    </row>
    <row r="211" spans="1:9" ht="22.5">
      <c r="A211" s="76" t="s">
        <v>1</v>
      </c>
      <c r="B211" s="99" t="s">
        <v>6</v>
      </c>
      <c r="C211" s="156">
        <v>9.8759999999999994</v>
      </c>
      <c r="D211" s="156">
        <v>7.1390000000000002</v>
      </c>
      <c r="E211" s="182">
        <v>0.37</v>
      </c>
      <c r="F211" s="156">
        <v>6</v>
      </c>
      <c r="G211" s="156">
        <v>10</v>
      </c>
      <c r="H211" s="156">
        <v>20</v>
      </c>
      <c r="I211" s="156">
        <v>20</v>
      </c>
    </row>
    <row r="212" spans="1:9" ht="26.25" customHeight="1">
      <c r="A212" s="76" t="s">
        <v>13</v>
      </c>
      <c r="B212" s="99" t="s">
        <v>4</v>
      </c>
      <c r="C212" s="156">
        <f>C211/1.068/1.427*100</f>
        <v>648.01618859397013</v>
      </c>
      <c r="D212" s="156">
        <f>D211/1.06/C211*100</f>
        <v>68.19467051819926</v>
      </c>
      <c r="E212" s="182">
        <f>E211/1.033/D211*100</f>
        <v>5.0172301174289498</v>
      </c>
      <c r="F212" s="156">
        <f>F211/1.101/E211*100</f>
        <v>1472.8625082848519</v>
      </c>
      <c r="G212" s="155">
        <f>G211/1.073/F211*100</f>
        <v>155.32774153463808</v>
      </c>
      <c r="H212" s="155">
        <f>H211/1.065/G211*100</f>
        <v>187.79342723004694</v>
      </c>
      <c r="I212" s="155">
        <f>I211/1.062/H211*100</f>
        <v>94.161958568738214</v>
      </c>
    </row>
    <row r="213" spans="1:9" s="21" customFormat="1" ht="35.25" customHeight="1">
      <c r="A213" s="77" t="s">
        <v>147</v>
      </c>
      <c r="B213" s="100"/>
      <c r="C213" s="156"/>
      <c r="D213" s="156"/>
      <c r="E213" s="182"/>
      <c r="F213" s="155"/>
      <c r="G213" s="149"/>
      <c r="H213" s="149"/>
      <c r="I213" s="149"/>
    </row>
    <row r="214" spans="1:9" ht="22.5">
      <c r="A214" s="76" t="s">
        <v>1</v>
      </c>
      <c r="B214" s="99" t="s">
        <v>6</v>
      </c>
      <c r="C214" s="156">
        <f>12.291</f>
        <v>12.291</v>
      </c>
      <c r="D214" s="156">
        <f>16.041</f>
        <v>16.041</v>
      </c>
      <c r="E214" s="182">
        <v>78.441000000000003</v>
      </c>
      <c r="F214" s="155">
        <v>67.069999999999993</v>
      </c>
      <c r="G214" s="155">
        <v>90.143000000000001</v>
      </c>
      <c r="H214" s="155">
        <v>60.427</v>
      </c>
      <c r="I214" s="155">
        <v>70.367000000000004</v>
      </c>
    </row>
    <row r="215" spans="1:9" ht="26.25" customHeight="1">
      <c r="A215" s="76" t="s">
        <v>13</v>
      </c>
      <c r="B215" s="99" t="s">
        <v>4</v>
      </c>
      <c r="C215" s="156">
        <f>C214/1.068/1.427*100</f>
        <v>806.47701235403883</v>
      </c>
      <c r="D215" s="156">
        <f>D214/1.06/C214*100</f>
        <v>123.12276354995142</v>
      </c>
      <c r="E215" s="182">
        <f>E214/1.033/D214*100</f>
        <v>473.38158698248617</v>
      </c>
      <c r="F215" s="156">
        <f>F214/1.101/E214*100</f>
        <v>77.660085753084147</v>
      </c>
      <c r="G215" s="155">
        <f>G214/1.073/F214*100</f>
        <v>125.25756915303607</v>
      </c>
      <c r="H215" s="155">
        <f>H214/1.065/G214*100</f>
        <v>62.943286928713526</v>
      </c>
      <c r="I215" s="155">
        <f>I214/1.062/H214*100</f>
        <v>109.65122442958284</v>
      </c>
    </row>
    <row r="216" spans="1:9" s="21" customFormat="1" ht="14.25">
      <c r="A216" s="75" t="s">
        <v>148</v>
      </c>
      <c r="B216" s="101"/>
      <c r="C216" s="156"/>
      <c r="D216" s="156"/>
      <c r="E216" s="182"/>
      <c r="F216" s="155"/>
      <c r="G216" s="149"/>
      <c r="H216" s="149"/>
      <c r="I216" s="149"/>
    </row>
    <row r="217" spans="1:9" ht="22.5">
      <c r="A217" s="76" t="s">
        <v>1</v>
      </c>
      <c r="B217" s="99" t="s">
        <v>6</v>
      </c>
      <c r="C217" s="156">
        <v>0</v>
      </c>
      <c r="D217" s="156">
        <v>0</v>
      </c>
      <c r="E217" s="182">
        <v>0</v>
      </c>
      <c r="F217" s="155">
        <v>0</v>
      </c>
      <c r="G217" s="155">
        <v>4</v>
      </c>
      <c r="H217" s="155">
        <v>4</v>
      </c>
      <c r="I217" s="155">
        <v>4</v>
      </c>
    </row>
    <row r="218" spans="1:9" ht="24.75" customHeight="1">
      <c r="A218" s="76" t="s">
        <v>13</v>
      </c>
      <c r="B218" s="99" t="s">
        <v>4</v>
      </c>
      <c r="C218" s="156">
        <f>C217/1.068/1.427*100</f>
        <v>0</v>
      </c>
      <c r="D218" s="156"/>
      <c r="E218" s="182"/>
      <c r="F218" s="156"/>
      <c r="G218" s="155"/>
      <c r="H218" s="155">
        <f>H217/1.065/G217*100</f>
        <v>93.896713615023472</v>
      </c>
      <c r="I218" s="155">
        <f>I217/1.062/H217*100</f>
        <v>94.161958568738228</v>
      </c>
    </row>
    <row r="219" spans="1:9" s="21" customFormat="1" ht="18.75" customHeight="1">
      <c r="A219" s="75" t="s">
        <v>149</v>
      </c>
      <c r="B219" s="101"/>
      <c r="C219" s="156"/>
      <c r="D219" s="156"/>
      <c r="E219" s="182"/>
      <c r="F219" s="155"/>
      <c r="G219" s="155"/>
      <c r="H219" s="155"/>
      <c r="I219" s="155"/>
    </row>
    <row r="220" spans="1:9" ht="22.5">
      <c r="A220" s="76" t="s">
        <v>1</v>
      </c>
      <c r="B220" s="99" t="s">
        <v>6</v>
      </c>
      <c r="C220" s="156">
        <v>0</v>
      </c>
      <c r="D220" s="156">
        <v>0</v>
      </c>
      <c r="E220" s="182">
        <v>0</v>
      </c>
      <c r="F220" s="155">
        <v>0</v>
      </c>
      <c r="G220" s="155">
        <v>0.3</v>
      </c>
      <c r="H220" s="155">
        <v>0.3</v>
      </c>
      <c r="I220" s="155">
        <v>0.35</v>
      </c>
    </row>
    <row r="221" spans="1:9" ht="24" customHeight="1">
      <c r="A221" s="76" t="s">
        <v>13</v>
      </c>
      <c r="B221" s="99" t="s">
        <v>4</v>
      </c>
      <c r="C221" s="156"/>
      <c r="D221" s="156"/>
      <c r="E221" s="182"/>
      <c r="F221" s="156"/>
      <c r="G221" s="155"/>
      <c r="H221" s="155"/>
      <c r="I221" s="155"/>
    </row>
    <row r="222" spans="1:9" s="21" customFormat="1" ht="14.25">
      <c r="A222" s="75" t="s">
        <v>150</v>
      </c>
      <c r="B222" s="101"/>
      <c r="C222" s="156"/>
      <c r="D222" s="156"/>
      <c r="E222" s="182"/>
      <c r="F222" s="155"/>
      <c r="G222" s="149"/>
      <c r="H222" s="149"/>
      <c r="I222" s="149"/>
    </row>
    <row r="223" spans="1:9" ht="22.5">
      <c r="A223" s="76" t="s">
        <v>1</v>
      </c>
      <c r="B223" s="99" t="s">
        <v>6</v>
      </c>
      <c r="C223" s="156">
        <v>230.94499999999999</v>
      </c>
      <c r="D223" s="156">
        <f>145.926+16.9+596.601</f>
        <v>759.42700000000002</v>
      </c>
      <c r="E223" s="182">
        <f>247.561+7.602+1888.724+1.5</f>
        <v>2145.3869999999997</v>
      </c>
      <c r="F223" s="155">
        <v>320.697</v>
      </c>
      <c r="G223" s="155">
        <v>51.207999999999998</v>
      </c>
      <c r="H223" s="155">
        <v>51.204000000000001</v>
      </c>
      <c r="I223" s="155">
        <v>81.492999999999995</v>
      </c>
    </row>
    <row r="224" spans="1:9" ht="27.75" customHeight="1">
      <c r="A224" s="76" t="s">
        <v>13</v>
      </c>
      <c r="B224" s="99" t="s">
        <v>4</v>
      </c>
      <c r="C224" s="156">
        <f>C223/1.068/1.427*100</f>
        <v>15153.513434065861</v>
      </c>
      <c r="D224" s="156">
        <f>D223/1.06/C223*100</f>
        <v>310.2212933978808</v>
      </c>
      <c r="E224" s="182">
        <f>E223/1.033/D223*100</f>
        <v>273.4760443928779</v>
      </c>
      <c r="F224" s="156">
        <f>F223/1.101/E223*100</f>
        <v>13.576941090596401</v>
      </c>
      <c r="G224" s="155">
        <f>G223/1.073/F223*100</f>
        <v>14.881379598510271</v>
      </c>
      <c r="H224" s="155">
        <f>H223/1.065/G223*100</f>
        <v>93.889379080293367</v>
      </c>
      <c r="I224" s="155">
        <f>I223/1.062/H223*100</f>
        <v>149.86212970944035</v>
      </c>
    </row>
    <row r="225" spans="1:9" s="21" customFormat="1" ht="42.75">
      <c r="A225" s="75" t="s">
        <v>151</v>
      </c>
      <c r="B225" s="101"/>
      <c r="C225" s="156"/>
      <c r="D225" s="156"/>
      <c r="E225" s="182"/>
      <c r="F225" s="155"/>
      <c r="G225" s="149"/>
      <c r="H225" s="149"/>
      <c r="I225" s="149"/>
    </row>
    <row r="226" spans="1:9" ht="22.5">
      <c r="A226" s="76" t="s">
        <v>1</v>
      </c>
      <c r="B226" s="99" t="s">
        <v>6</v>
      </c>
      <c r="C226" s="156">
        <v>2.8849999999999998</v>
      </c>
      <c r="D226" s="156">
        <v>20.186</v>
      </c>
      <c r="E226" s="182">
        <f>0.389+12.032</f>
        <v>12.420999999999999</v>
      </c>
      <c r="F226" s="156">
        <v>0.5</v>
      </c>
      <c r="G226" s="156">
        <v>0.5</v>
      </c>
      <c r="H226" s="156">
        <v>0.6</v>
      </c>
      <c r="I226" s="156">
        <v>0.8</v>
      </c>
    </row>
    <row r="227" spans="1:9" ht="27.75" customHeight="1">
      <c r="A227" s="76" t="s">
        <v>13</v>
      </c>
      <c r="B227" s="99" t="s">
        <v>4</v>
      </c>
      <c r="C227" s="156">
        <f>C226/1.068/1.427*100</f>
        <v>189.29999028894326</v>
      </c>
      <c r="D227" s="156">
        <f>D226/1.06/C226*100</f>
        <v>660.0830581079756</v>
      </c>
      <c r="E227" s="182">
        <f>E226/1.033/D226*100</f>
        <v>59.56703336607498</v>
      </c>
      <c r="F227" s="156">
        <f>F226/1.101/E226*100</f>
        <v>3.6561678344832349</v>
      </c>
      <c r="G227" s="155">
        <f>G226/1.073/F226*100</f>
        <v>93.196644920782859</v>
      </c>
      <c r="H227" s="155">
        <f>H226/1.065/G226*100</f>
        <v>112.67605633802818</v>
      </c>
      <c r="I227" s="155">
        <f>I226/1.062/H226*100</f>
        <v>125.54927809165098</v>
      </c>
    </row>
    <row r="228" spans="1:9" s="21" customFormat="1" ht="14.25">
      <c r="A228" s="75" t="s">
        <v>152</v>
      </c>
      <c r="B228" s="101"/>
      <c r="C228" s="156"/>
      <c r="D228" s="156"/>
      <c r="E228" s="182"/>
      <c r="F228" s="155"/>
      <c r="G228" s="149"/>
      <c r="H228" s="149"/>
      <c r="I228" s="149"/>
    </row>
    <row r="229" spans="1:9" ht="22.5">
      <c r="A229" s="76" t="s">
        <v>1</v>
      </c>
      <c r="B229" s="99" t="s">
        <v>6</v>
      </c>
      <c r="C229" s="157">
        <v>30.509</v>
      </c>
      <c r="D229" s="157">
        <v>32.414999999999999</v>
      </c>
      <c r="E229" s="183">
        <v>27.356999999999999</v>
      </c>
      <c r="F229" s="157">
        <v>19.5</v>
      </c>
      <c r="G229" s="157">
        <v>125.4</v>
      </c>
      <c r="H229" s="157">
        <v>58.6</v>
      </c>
      <c r="I229" s="157">
        <v>15</v>
      </c>
    </row>
    <row r="230" spans="1:9" ht="29.25" customHeight="1">
      <c r="A230" s="76" t="s">
        <v>13</v>
      </c>
      <c r="B230" s="99" t="s">
        <v>4</v>
      </c>
      <c r="C230" s="156">
        <f>C229/1.068/1.427*100</f>
        <v>2001.8555992115673</v>
      </c>
      <c r="D230" s="156">
        <f>D229/1.06/C229*100</f>
        <v>100.23333665228387</v>
      </c>
      <c r="E230" s="182">
        <f>E229/1.033/D229*100</f>
        <v>81.700012498247347</v>
      </c>
      <c r="F230" s="156">
        <f>F229/1.101/E229*100</f>
        <v>64.740913338909024</v>
      </c>
      <c r="G230" s="155">
        <f>G229/1.073/F229*100</f>
        <v>599.326116567496</v>
      </c>
      <c r="H230" s="155">
        <f>H229/1.065/G229*100</f>
        <v>43.878368563320379</v>
      </c>
      <c r="I230" s="155">
        <f>I229/1.062/H229*100</f>
        <v>24.102890418619001</v>
      </c>
    </row>
    <row r="231" spans="1:9" s="21" customFormat="1" ht="30.75" customHeight="1">
      <c r="A231" s="75" t="s">
        <v>153</v>
      </c>
      <c r="B231" s="101"/>
      <c r="C231" s="156"/>
      <c r="D231" s="156"/>
      <c r="E231" s="182"/>
      <c r="F231" s="155"/>
      <c r="G231" s="149"/>
      <c r="H231" s="149"/>
      <c r="I231" s="149"/>
    </row>
    <row r="232" spans="1:9" ht="22.5">
      <c r="A232" s="76" t="s">
        <v>1</v>
      </c>
      <c r="B232" s="99" t="s">
        <v>6</v>
      </c>
      <c r="C232" s="156">
        <v>15.853</v>
      </c>
      <c r="D232" s="156">
        <v>33.61</v>
      </c>
      <c r="E232" s="182">
        <v>18.753</v>
      </c>
      <c r="F232" s="155">
        <v>13.067</v>
      </c>
      <c r="G232" s="155">
        <v>20.25</v>
      </c>
      <c r="H232" s="155">
        <v>20.5</v>
      </c>
      <c r="I232" s="155">
        <v>22</v>
      </c>
    </row>
    <row r="233" spans="1:9" ht="22.5" customHeight="1">
      <c r="A233" s="76" t="s">
        <v>13</v>
      </c>
      <c r="B233" s="99" t="s">
        <v>4</v>
      </c>
      <c r="C233" s="156">
        <f>C232/1.068/1.427*100</f>
        <v>1040.1985254941483</v>
      </c>
      <c r="D233" s="156">
        <f>D232/1.06/C232*100</f>
        <v>200.00975947651116</v>
      </c>
      <c r="E233" s="182">
        <f>E232/1.033/D232*100</f>
        <v>54.013450221822957</v>
      </c>
      <c r="F233" s="156">
        <f>F232/1.101/E232*100</f>
        <v>63.287482237779891</v>
      </c>
      <c r="G233" s="155">
        <f>G232/1.073/F232*100</f>
        <v>144.42734060196318</v>
      </c>
      <c r="H233" s="155">
        <f>H232/1.065/G232*100</f>
        <v>95.055932301628701</v>
      </c>
      <c r="I233" s="155">
        <f>I232/1.062/H232*100</f>
        <v>101.05185797620686</v>
      </c>
    </row>
    <row r="234" spans="1:9" ht="58.5">
      <c r="A234" s="72" t="s">
        <v>269</v>
      </c>
      <c r="B234" s="98"/>
      <c r="C234" s="156"/>
      <c r="D234" s="156"/>
      <c r="E234" s="182"/>
      <c r="F234" s="155"/>
      <c r="G234" s="155"/>
      <c r="H234" s="158"/>
      <c r="I234" s="158"/>
    </row>
    <row r="235" spans="1:9" ht="30">
      <c r="A235" s="78" t="s">
        <v>58</v>
      </c>
      <c r="B235" s="98"/>
      <c r="C235" s="156"/>
      <c r="D235" s="156"/>
      <c r="E235" s="182"/>
      <c r="F235" s="155"/>
      <c r="G235" s="155"/>
      <c r="H235" s="158"/>
      <c r="I235" s="158"/>
    </row>
    <row r="236" spans="1:9" ht="22.5">
      <c r="A236" s="73" t="s">
        <v>1</v>
      </c>
      <c r="B236" s="98" t="s">
        <v>6</v>
      </c>
      <c r="C236" s="156">
        <v>186.6</v>
      </c>
      <c r="D236" s="156">
        <v>765.3</v>
      </c>
      <c r="E236" s="182">
        <v>2036.2</v>
      </c>
      <c r="F236" s="156">
        <v>47.801000000000002</v>
      </c>
      <c r="G236" s="156">
        <v>66.100999999999999</v>
      </c>
      <c r="H236" s="156">
        <v>46.631</v>
      </c>
      <c r="I236" s="156">
        <v>68.36</v>
      </c>
    </row>
    <row r="237" spans="1:9" ht="27.75" customHeight="1">
      <c r="A237" s="73" t="s">
        <v>13</v>
      </c>
      <c r="B237" s="98" t="s">
        <v>4</v>
      </c>
      <c r="C237" s="156">
        <v>12.2</v>
      </c>
      <c r="D237" s="156">
        <v>386.8</v>
      </c>
      <c r="E237" s="182">
        <v>257.60000000000002</v>
      </c>
      <c r="F237" s="156">
        <f>F236/1.101/E236*100</f>
        <v>2.1322063386581172</v>
      </c>
      <c r="G237" s="155">
        <f>G236/1.073/F236*100</f>
        <v>128.87578556742886</v>
      </c>
      <c r="H237" s="155">
        <f>H236/1.065/G236*100</f>
        <v>66.239507005675563</v>
      </c>
      <c r="I237" s="155">
        <f>I236/1.062/H236*100</f>
        <v>138.03931907441284</v>
      </c>
    </row>
    <row r="238" spans="1:9" ht="15">
      <c r="A238" s="78" t="s">
        <v>59</v>
      </c>
      <c r="B238" s="98"/>
      <c r="C238" s="156"/>
      <c r="D238" s="156"/>
      <c r="E238" s="182"/>
      <c r="F238" s="155"/>
      <c r="G238" s="155"/>
      <c r="H238" s="158"/>
      <c r="I238" s="158"/>
    </row>
    <row r="239" spans="1:9" ht="22.5">
      <c r="A239" s="73" t="s">
        <v>1</v>
      </c>
      <c r="B239" s="98" t="s">
        <v>6</v>
      </c>
      <c r="C239" s="156">
        <v>172.2</v>
      </c>
      <c r="D239" s="156">
        <v>121.5</v>
      </c>
      <c r="E239" s="182">
        <f>E200-E236</f>
        <v>261.22399999999948</v>
      </c>
      <c r="F239" s="156">
        <f>F200-F236</f>
        <v>392.233</v>
      </c>
      <c r="G239" s="156">
        <f t="shared" ref="G239:I239" si="14">G200-G236</f>
        <v>285.40000000000003</v>
      </c>
      <c r="H239" s="156">
        <f t="shared" si="14"/>
        <v>187.79999999999998</v>
      </c>
      <c r="I239" s="156">
        <f t="shared" si="14"/>
        <v>167.64999999999998</v>
      </c>
    </row>
    <row r="240" spans="1:9" ht="27" customHeight="1">
      <c r="A240" s="73" t="s">
        <v>13</v>
      </c>
      <c r="B240" s="98" t="s">
        <v>4</v>
      </c>
      <c r="C240" s="156">
        <v>11.3</v>
      </c>
      <c r="D240" s="156">
        <v>66.599999999999994</v>
      </c>
      <c r="E240" s="182">
        <f>E239/1.033/D239*100</f>
        <v>208.13085862026338</v>
      </c>
      <c r="F240" s="156">
        <f>F239/1.101/E239*100</f>
        <v>136.37781730014248</v>
      </c>
      <c r="G240" s="155">
        <f>G239/1.073/F239*100</f>
        <v>67.812556466160245</v>
      </c>
      <c r="H240" s="155">
        <f>H239/1.065/G239*100</f>
        <v>61.786274761392455</v>
      </c>
      <c r="I240" s="155">
        <f>I239/1.062/H239*100</f>
        <v>84.058851725500332</v>
      </c>
    </row>
    <row r="241" spans="1:9" ht="15" hidden="1">
      <c r="A241" s="72" t="s">
        <v>89</v>
      </c>
      <c r="B241" s="98"/>
      <c r="C241" s="74"/>
      <c r="D241" s="74"/>
      <c r="E241" s="184"/>
      <c r="F241" s="49"/>
      <c r="G241" s="49"/>
      <c r="H241" s="53"/>
      <c r="I241" s="53"/>
    </row>
    <row r="242" spans="1:9" ht="23.25" hidden="1" customHeight="1">
      <c r="A242" s="73" t="s">
        <v>1</v>
      </c>
      <c r="B242" s="98" t="s">
        <v>88</v>
      </c>
      <c r="C242" s="74">
        <v>0</v>
      </c>
      <c r="D242" s="74">
        <v>0</v>
      </c>
      <c r="E242" s="184">
        <v>0</v>
      </c>
      <c r="F242" s="49">
        <v>0</v>
      </c>
      <c r="G242" s="49">
        <v>0</v>
      </c>
      <c r="H242" s="49">
        <v>0</v>
      </c>
      <c r="I242" s="49">
        <v>0</v>
      </c>
    </row>
    <row r="243" spans="1:9" ht="23.25" hidden="1" customHeight="1">
      <c r="A243" s="73" t="s">
        <v>13</v>
      </c>
      <c r="B243" s="98" t="s">
        <v>4</v>
      </c>
      <c r="C243" s="74"/>
      <c r="D243" s="74"/>
      <c r="E243" s="184"/>
      <c r="F243" s="49"/>
      <c r="G243" s="49"/>
      <c r="H243" s="53"/>
      <c r="I243" s="53"/>
    </row>
    <row r="244" spans="1:9" s="25" customFormat="1" ht="73.5" customHeight="1">
      <c r="A244" s="72" t="s">
        <v>200</v>
      </c>
      <c r="B244" s="98"/>
      <c r="C244" s="74"/>
      <c r="D244" s="74"/>
      <c r="E244" s="184"/>
      <c r="F244" s="49"/>
      <c r="G244" s="49"/>
      <c r="H244" s="53"/>
      <c r="I244" s="53"/>
    </row>
    <row r="245" spans="1:9" s="25" customFormat="1" ht="22.5">
      <c r="A245" s="73" t="s">
        <v>1</v>
      </c>
      <c r="B245" s="98" t="s">
        <v>6</v>
      </c>
      <c r="C245" s="154">
        <v>497.89699999999999</v>
      </c>
      <c r="D245" s="154">
        <v>543.60299999999995</v>
      </c>
      <c r="E245" s="185">
        <v>698.73929999999996</v>
      </c>
      <c r="F245" s="155">
        <v>52</v>
      </c>
      <c r="G245" s="155">
        <v>238.2</v>
      </c>
      <c r="H245" s="155">
        <v>137.69999999999999</v>
      </c>
      <c r="I245" s="155">
        <v>144.6</v>
      </c>
    </row>
    <row r="246" spans="1:9" s="25" customFormat="1" ht="28.5" customHeight="1">
      <c r="A246" s="73" t="s">
        <v>13</v>
      </c>
      <c r="B246" s="98" t="s">
        <v>4</v>
      </c>
      <c r="C246" s="154">
        <f>C245/1.086/2301.145*100</f>
        <v>19.923502971318861</v>
      </c>
      <c r="D246" s="154">
        <f>D245/1.056/C245*100</f>
        <v>103.38997185799836</v>
      </c>
      <c r="E246" s="182">
        <f>E245/1.044/D245*100</f>
        <v>123.12119639541712</v>
      </c>
      <c r="F246" s="156">
        <f>F245/1.069/E245*100</f>
        <v>6.9616224738166252</v>
      </c>
      <c r="G246" s="156">
        <f>G245/1.062/F245*100</f>
        <v>431.3342025206432</v>
      </c>
      <c r="H246" s="156">
        <f>H245/1.065/G245*100</f>
        <v>54.280342001631965</v>
      </c>
      <c r="I246" s="156">
        <f>I245/1.066/H245*100</f>
        <v>98.509280718749864</v>
      </c>
    </row>
    <row r="247" spans="1:9" s="26" customFormat="1" ht="21" customHeight="1">
      <c r="A247" s="223" t="s">
        <v>60</v>
      </c>
      <c r="B247" s="223"/>
      <c r="C247" s="223"/>
      <c r="D247" s="223"/>
      <c r="E247" s="223"/>
      <c r="F247" s="223"/>
      <c r="G247" s="223"/>
      <c r="H247" s="223"/>
      <c r="I247" s="223"/>
    </row>
    <row r="248" spans="1:9" s="6" customFormat="1" ht="17.25" customHeight="1">
      <c r="A248" s="79" t="s">
        <v>61</v>
      </c>
      <c r="B248" s="102"/>
      <c r="C248" s="150"/>
      <c r="D248" s="150"/>
      <c r="E248" s="130"/>
      <c r="F248" s="150"/>
      <c r="G248" s="150"/>
      <c r="H248" s="150"/>
      <c r="I248" s="150"/>
    </row>
    <row r="249" spans="1:9" s="6" customFormat="1" ht="21.95" customHeight="1">
      <c r="A249" s="41" t="s">
        <v>1</v>
      </c>
      <c r="B249" s="91" t="s">
        <v>6</v>
      </c>
      <c r="C249" s="111">
        <v>3883.3</v>
      </c>
      <c r="D249" s="111">
        <v>3817.4</v>
      </c>
      <c r="E249" s="174">
        <v>4917.6000000000004</v>
      </c>
      <c r="F249" s="111">
        <v>5000</v>
      </c>
      <c r="G249" s="111">
        <v>5250</v>
      </c>
      <c r="H249" s="111">
        <v>5512.5</v>
      </c>
      <c r="I249" s="149">
        <v>5788.1</v>
      </c>
    </row>
    <row r="250" spans="1:9" s="6" customFormat="1" ht="21.95" customHeight="1">
      <c r="A250" s="41" t="s">
        <v>13</v>
      </c>
      <c r="B250" s="91" t="s">
        <v>4</v>
      </c>
      <c r="C250" s="151">
        <v>128</v>
      </c>
      <c r="D250" s="151">
        <f>D249/106.6*100/C249*100</f>
        <v>92.216688297592583</v>
      </c>
      <c r="E250" s="186">
        <f>E249/106.3*100/D249*100</f>
        <v>121.18594852179807</v>
      </c>
      <c r="F250" s="151">
        <f>F249/116.4*100/E249*100</f>
        <v>87.350183952499378</v>
      </c>
      <c r="G250" s="151">
        <f>G249/106.6*100/F249*100</f>
        <v>98.499061913696067</v>
      </c>
      <c r="H250" s="151">
        <f>H249/106.2*100/G249*100</f>
        <v>98.870056497175128</v>
      </c>
      <c r="I250" s="152">
        <f>I249/105*100/H249*100</f>
        <v>99.999568081200735</v>
      </c>
    </row>
    <row r="251" spans="1:9" s="6" customFormat="1" ht="30" customHeight="1">
      <c r="A251" s="41" t="s">
        <v>62</v>
      </c>
      <c r="B251" s="102" t="s">
        <v>5</v>
      </c>
      <c r="C251" s="111">
        <v>48</v>
      </c>
      <c r="D251" s="111">
        <v>48</v>
      </c>
      <c r="E251" s="174">
        <v>45</v>
      </c>
      <c r="F251" s="111">
        <v>55</v>
      </c>
      <c r="G251" s="111">
        <v>55</v>
      </c>
      <c r="H251" s="111">
        <v>50</v>
      </c>
      <c r="I251" s="149">
        <v>48</v>
      </c>
    </row>
    <row r="252" spans="1:9" s="6" customFormat="1" ht="32.25" customHeight="1">
      <c r="A252" s="41" t="s">
        <v>81</v>
      </c>
      <c r="B252" s="102" t="s">
        <v>5</v>
      </c>
      <c r="C252" s="111">
        <v>52</v>
      </c>
      <c r="D252" s="111">
        <v>52</v>
      </c>
      <c r="E252" s="174">
        <v>55</v>
      </c>
      <c r="F252" s="111">
        <v>45</v>
      </c>
      <c r="G252" s="111">
        <v>45</v>
      </c>
      <c r="H252" s="111">
        <v>50</v>
      </c>
      <c r="I252" s="149">
        <v>52</v>
      </c>
    </row>
    <row r="253" spans="1:9" s="7" customFormat="1" ht="18" customHeight="1">
      <c r="A253" s="79" t="s">
        <v>78</v>
      </c>
      <c r="B253" s="102"/>
      <c r="C253" s="108"/>
      <c r="D253" s="108"/>
      <c r="E253" s="177"/>
      <c r="F253" s="108"/>
      <c r="G253" s="108"/>
      <c r="H253" s="108"/>
      <c r="I253" s="153"/>
    </row>
    <row r="254" spans="1:9" s="6" customFormat="1" ht="21.95" customHeight="1">
      <c r="A254" s="41" t="s">
        <v>1</v>
      </c>
      <c r="B254" s="91" t="s">
        <v>6</v>
      </c>
      <c r="C254" s="111">
        <v>87.1</v>
      </c>
      <c r="D254" s="111">
        <v>84.1</v>
      </c>
      <c r="E254" s="174">
        <v>88.7</v>
      </c>
      <c r="F254" s="111">
        <v>92</v>
      </c>
      <c r="G254" s="111">
        <v>94.7</v>
      </c>
      <c r="H254" s="111">
        <v>97.5</v>
      </c>
      <c r="I254" s="149">
        <v>100.4</v>
      </c>
    </row>
    <row r="255" spans="1:9" s="6" customFormat="1" ht="21.95" customHeight="1">
      <c r="A255" s="41" t="s">
        <v>13</v>
      </c>
      <c r="B255" s="91" t="s">
        <v>4</v>
      </c>
      <c r="C255" s="151">
        <v>100.8</v>
      </c>
      <c r="D255" s="151">
        <f>D254/107.2*100/C254*100</f>
        <v>90.07059992802921</v>
      </c>
      <c r="E255" s="186">
        <f>E254/1.11*100/D254*100</f>
        <v>9501.7728787051019</v>
      </c>
      <c r="F255" s="151">
        <f>F254/119.4*100/E254*100</f>
        <v>86.868011610098577</v>
      </c>
      <c r="G255" s="151">
        <f>G254/106.6*100/F254*100</f>
        <v>96.561709764254843</v>
      </c>
      <c r="H255" s="151">
        <f>H254/105.6*100/G254*100</f>
        <v>97.496880099836801</v>
      </c>
      <c r="I255" s="152">
        <f>I254/105.3*100/H254*100</f>
        <v>97.79141403073028</v>
      </c>
    </row>
    <row r="256" spans="1:9" s="6" customFormat="1" ht="18.75" customHeight="1">
      <c r="A256" s="79" t="s">
        <v>63</v>
      </c>
      <c r="B256" s="91"/>
      <c r="C256" s="147"/>
      <c r="D256" s="147"/>
      <c r="E256" s="187"/>
      <c r="F256" s="147"/>
      <c r="G256" s="111"/>
      <c r="H256" s="111"/>
      <c r="I256" s="148"/>
    </row>
    <row r="257" spans="1:9" s="6" customFormat="1" ht="21.95" customHeight="1">
      <c r="A257" s="41" t="s">
        <v>1</v>
      </c>
      <c r="B257" s="91" t="s">
        <v>6</v>
      </c>
      <c r="C257" s="112">
        <f t="shared" ref="C257:I257" si="15">C261+C264+C267+C270+C273+C276+C285+C288+C291+C294+C297+C299</f>
        <v>799.58270000000005</v>
      </c>
      <c r="D257" s="112">
        <f t="shared" si="15"/>
        <v>890.5</v>
      </c>
      <c r="E257" s="188">
        <f t="shared" si="15"/>
        <v>898.7</v>
      </c>
      <c r="F257" s="112">
        <f t="shared" si="15"/>
        <v>978.1</v>
      </c>
      <c r="G257" s="112">
        <f t="shared" si="15"/>
        <v>1040.9000000000001</v>
      </c>
      <c r="H257" s="112">
        <f t="shared" si="15"/>
        <v>1100.4999999999998</v>
      </c>
      <c r="I257" s="112">
        <f t="shared" si="15"/>
        <v>1158.3000000000002</v>
      </c>
    </row>
    <row r="258" spans="1:9" s="6" customFormat="1" ht="21.95" customHeight="1">
      <c r="A258" s="41" t="s">
        <v>13</v>
      </c>
      <c r="B258" s="91" t="s">
        <v>4</v>
      </c>
      <c r="C258" s="147">
        <v>101</v>
      </c>
      <c r="D258" s="147">
        <f>D257/1.076*100/C257</f>
        <v>103.50426922484333</v>
      </c>
      <c r="E258" s="187">
        <f>E257/1.066*100/D257</f>
        <v>94.672449337545686</v>
      </c>
      <c r="F258" s="147">
        <f>F257/1.114*100/E257</f>
        <v>97.697472051690852</v>
      </c>
      <c r="G258" s="147">
        <f>G257/1.081*100/F257</f>
        <v>98.446449018897781</v>
      </c>
      <c r="H258" s="147">
        <f>H257/1.063*100/G257</f>
        <v>99.459844025635576</v>
      </c>
      <c r="I258" s="147">
        <f>I257/1.049*100/H257</f>
        <v>100.33570839842713</v>
      </c>
    </row>
    <row r="259" spans="1:9" s="6" customFormat="1" ht="21.95" customHeight="1">
      <c r="A259" s="41" t="s">
        <v>14</v>
      </c>
      <c r="B259" s="91"/>
      <c r="C259" s="147"/>
      <c r="D259" s="147"/>
      <c r="E259" s="187"/>
      <c r="F259" s="147"/>
      <c r="G259" s="111"/>
      <c r="H259" s="111"/>
      <c r="I259" s="148"/>
    </row>
    <row r="260" spans="1:9" s="6" customFormat="1" ht="18.75" customHeight="1">
      <c r="A260" s="37" t="s">
        <v>64</v>
      </c>
      <c r="B260" s="91"/>
      <c r="C260" s="147"/>
      <c r="D260" s="147"/>
      <c r="E260" s="187"/>
      <c r="F260" s="147"/>
      <c r="G260" s="111"/>
      <c r="H260" s="111"/>
      <c r="I260" s="148"/>
    </row>
    <row r="261" spans="1:9" s="6" customFormat="1" ht="21.95" customHeight="1">
      <c r="A261" s="41" t="s">
        <v>1</v>
      </c>
      <c r="B261" s="91" t="s">
        <v>6</v>
      </c>
      <c r="C261" s="111">
        <v>59</v>
      </c>
      <c r="D261" s="111">
        <v>78.7</v>
      </c>
      <c r="E261" s="174">
        <v>88.7</v>
      </c>
      <c r="F261" s="111">
        <v>92</v>
      </c>
      <c r="G261" s="111">
        <v>94.7</v>
      </c>
      <c r="H261" s="111">
        <v>97.5</v>
      </c>
      <c r="I261" s="149">
        <v>100.4</v>
      </c>
    </row>
    <row r="262" spans="1:9" s="6" customFormat="1" ht="21.95" customHeight="1">
      <c r="A262" s="41" t="s">
        <v>13</v>
      </c>
      <c r="B262" s="91" t="s">
        <v>4</v>
      </c>
      <c r="C262" s="111">
        <v>116.7</v>
      </c>
      <c r="D262" s="147">
        <f>D261/1.076*100/C261</f>
        <v>123.96824396698381</v>
      </c>
      <c r="E262" s="187">
        <f>E261/1.066*100/D261</f>
        <v>105.72840553935792</v>
      </c>
      <c r="F262" s="147">
        <f>F261/1.114*100/E261</f>
        <v>93.106288925006936</v>
      </c>
      <c r="G262" s="147">
        <f>G261/1.081*100/F261</f>
        <v>95.22181554920968</v>
      </c>
      <c r="H262" s="147">
        <f>H261/1.063*100/G261</f>
        <v>96.854849845181235</v>
      </c>
      <c r="I262" s="147">
        <f>I261/1.049*100/H261</f>
        <v>98.164307887854136</v>
      </c>
    </row>
    <row r="263" spans="1:9" s="6" customFormat="1" ht="18" customHeight="1">
      <c r="A263" s="37" t="s">
        <v>65</v>
      </c>
      <c r="B263" s="91"/>
      <c r="C263" s="147"/>
      <c r="D263" s="147"/>
      <c r="E263" s="187"/>
      <c r="F263" s="147"/>
      <c r="G263" s="111"/>
      <c r="H263" s="111"/>
      <c r="I263" s="148"/>
    </row>
    <row r="264" spans="1:9" s="6" customFormat="1" ht="21.95" customHeight="1">
      <c r="A264" s="41" t="s">
        <v>1</v>
      </c>
      <c r="B264" s="91" t="s">
        <v>6</v>
      </c>
      <c r="C264" s="147">
        <v>115.4</v>
      </c>
      <c r="D264" s="147">
        <v>124.1</v>
      </c>
      <c r="E264" s="187">
        <v>132.80000000000001</v>
      </c>
      <c r="F264" s="147">
        <v>142.9</v>
      </c>
      <c r="G264" s="147">
        <v>153.1</v>
      </c>
      <c r="H264" s="147">
        <v>164.4</v>
      </c>
      <c r="I264" s="147">
        <v>177.3</v>
      </c>
    </row>
    <row r="265" spans="1:9" s="6" customFormat="1" ht="21.95" customHeight="1">
      <c r="A265" s="41" t="s">
        <v>13</v>
      </c>
      <c r="B265" s="91" t="s">
        <v>4</v>
      </c>
      <c r="C265" s="147">
        <v>101.1</v>
      </c>
      <c r="D265" s="147">
        <f>D264/1.076*100/C264</f>
        <v>99.943303718116383</v>
      </c>
      <c r="E265" s="187">
        <f>E264/1.066*100/D264</f>
        <v>100.38506137246335</v>
      </c>
      <c r="F265" s="147">
        <f>F264/1.114*100/E264</f>
        <v>96.593735804979332</v>
      </c>
      <c r="G265" s="147">
        <f>G264/1.081*100/F264</f>
        <v>99.109952490663531</v>
      </c>
      <c r="H265" s="147">
        <f>H264/1.063*100/G264</f>
        <v>101.01674211175379</v>
      </c>
      <c r="I265" s="147">
        <f>I264/1.049*100/H264</f>
        <v>102.80907085649872</v>
      </c>
    </row>
    <row r="266" spans="1:9" s="6" customFormat="1" ht="18" customHeight="1">
      <c r="A266" s="37" t="s">
        <v>66</v>
      </c>
      <c r="B266" s="91"/>
      <c r="C266" s="147"/>
      <c r="D266" s="147"/>
      <c r="E266" s="187"/>
      <c r="F266" s="147"/>
      <c r="G266" s="111"/>
      <c r="H266" s="111"/>
      <c r="I266" s="148"/>
    </row>
    <row r="267" spans="1:9" s="6" customFormat="1" ht="21.95" customHeight="1">
      <c r="A267" s="41" t="s">
        <v>1</v>
      </c>
      <c r="B267" s="91" t="s">
        <v>6</v>
      </c>
      <c r="C267" s="147">
        <v>98.8</v>
      </c>
      <c r="D267" s="147">
        <v>103</v>
      </c>
      <c r="E267" s="187">
        <v>93.4</v>
      </c>
      <c r="F267" s="147">
        <v>102.2</v>
      </c>
      <c r="G267" s="147">
        <v>102.4</v>
      </c>
      <c r="H267" s="147">
        <v>102.5</v>
      </c>
      <c r="I267" s="147">
        <v>102.6</v>
      </c>
    </row>
    <row r="268" spans="1:9" s="6" customFormat="1" ht="21.95" customHeight="1">
      <c r="A268" s="41" t="s">
        <v>13</v>
      </c>
      <c r="B268" s="91" t="s">
        <v>4</v>
      </c>
      <c r="C268" s="147">
        <v>96.8</v>
      </c>
      <c r="D268" s="147">
        <f>D267/1.076*100/C267</f>
        <v>96.887557756272301</v>
      </c>
      <c r="E268" s="187">
        <f>E267/1.066*100/D267</f>
        <v>85.065301735915043</v>
      </c>
      <c r="F268" s="147">
        <f>F267/1.114*100/E267</f>
        <v>98.224274274466666</v>
      </c>
      <c r="G268" s="147">
        <f>G267/1.081*100/F267</f>
        <v>92.687969210215229</v>
      </c>
      <c r="H268" s="147">
        <f>H267/1.063*100/G267</f>
        <v>94.165245766698021</v>
      </c>
      <c r="I268" s="147">
        <f>I267/1.049*100/H267</f>
        <v>95.421888441953996</v>
      </c>
    </row>
    <row r="269" spans="1:9" s="6" customFormat="1" ht="18.75" customHeight="1">
      <c r="A269" s="37" t="s">
        <v>67</v>
      </c>
      <c r="B269" s="91"/>
      <c r="C269" s="147"/>
      <c r="D269" s="147"/>
      <c r="E269" s="187"/>
      <c r="F269" s="147"/>
      <c r="G269" s="111"/>
      <c r="H269" s="111"/>
      <c r="I269" s="148"/>
    </row>
    <row r="270" spans="1:9" s="6" customFormat="1" ht="21.95" customHeight="1">
      <c r="A270" s="41" t="s">
        <v>1</v>
      </c>
      <c r="B270" s="91" t="s">
        <v>6</v>
      </c>
      <c r="C270" s="111">
        <v>67.7</v>
      </c>
      <c r="D270" s="111">
        <v>88.1</v>
      </c>
      <c r="E270" s="189">
        <v>78.900000000000006</v>
      </c>
      <c r="F270" s="149">
        <v>87.8</v>
      </c>
      <c r="G270" s="112">
        <v>94.9</v>
      </c>
      <c r="H270" s="112">
        <v>100.9</v>
      </c>
      <c r="I270" s="149">
        <v>105.9</v>
      </c>
    </row>
    <row r="271" spans="1:9" s="6" customFormat="1" ht="21.95" customHeight="1">
      <c r="A271" s="41" t="s">
        <v>13</v>
      </c>
      <c r="B271" s="91" t="s">
        <v>4</v>
      </c>
      <c r="C271" s="147">
        <v>92.6</v>
      </c>
      <c r="D271" s="147">
        <f>D270/1.076*100/C270</f>
        <v>120.94139353039044</v>
      </c>
      <c r="E271" s="187">
        <f>E270/1.066*100/D270</f>
        <v>84.012496459549411</v>
      </c>
      <c r="F271" s="147">
        <f>F270/1.114*100/E270</f>
        <v>99.892371089919038</v>
      </c>
      <c r="G271" s="147">
        <f>G270/1.081*100/F270</f>
        <v>99.987567404685208</v>
      </c>
      <c r="H271" s="147">
        <f>H270/1.063*100/G270</f>
        <v>100.02111446717691</v>
      </c>
      <c r="I271" s="147">
        <f>I270/1.049*100/H270</f>
        <v>100.05281352479732</v>
      </c>
    </row>
    <row r="272" spans="1:9" s="6" customFormat="1" ht="17.25" customHeight="1">
      <c r="A272" s="37" t="s">
        <v>68</v>
      </c>
      <c r="B272" s="91"/>
      <c r="C272" s="147"/>
      <c r="D272" s="147"/>
      <c r="E272" s="187"/>
      <c r="F272" s="147"/>
      <c r="G272" s="111"/>
      <c r="H272" s="111"/>
      <c r="I272" s="148"/>
    </row>
    <row r="273" spans="1:9" s="6" customFormat="1" ht="21.95" customHeight="1">
      <c r="A273" s="41" t="s">
        <v>1</v>
      </c>
      <c r="B273" s="91" t="s">
        <v>6</v>
      </c>
      <c r="C273" s="111">
        <v>296.10000000000002</v>
      </c>
      <c r="D273" s="111">
        <v>315</v>
      </c>
      <c r="E273" s="189">
        <v>306.7</v>
      </c>
      <c r="F273" s="149">
        <v>341.7</v>
      </c>
      <c r="G273" s="112">
        <v>369.3</v>
      </c>
      <c r="H273" s="112">
        <v>392.6</v>
      </c>
      <c r="I273" s="149">
        <v>411.8</v>
      </c>
    </row>
    <row r="274" spans="1:9" s="6" customFormat="1" ht="21.95" customHeight="1">
      <c r="A274" s="41" t="s">
        <v>13</v>
      </c>
      <c r="B274" s="91" t="s">
        <v>4</v>
      </c>
      <c r="C274" s="147">
        <v>100.5</v>
      </c>
      <c r="D274" s="147">
        <f>D273/1.076*100/C273</f>
        <v>98.868939334018819</v>
      </c>
      <c r="E274" s="187">
        <f>E273/1.066*100/D273</f>
        <v>91.336847434408398</v>
      </c>
      <c r="F274" s="147">
        <f>F273/1.114*100/E273</f>
        <v>100.01059521084761</v>
      </c>
      <c r="G274" s="147">
        <f>G273/1.081*100/F273</f>
        <v>99.978964620766234</v>
      </c>
      <c r="H274" s="147">
        <f>H273/1.063*100/G273</f>
        <v>100.00868643965255</v>
      </c>
      <c r="I274" s="147">
        <f>I273/1.049*100/H273</f>
        <v>99.990918746087658</v>
      </c>
    </row>
    <row r="275" spans="1:9" s="6" customFormat="1" ht="16.5" customHeight="1">
      <c r="A275" s="37" t="s">
        <v>69</v>
      </c>
      <c r="B275" s="91"/>
      <c r="C275" s="147"/>
      <c r="D275" s="147"/>
      <c r="E275" s="187"/>
      <c r="F275" s="147"/>
      <c r="G275" s="111"/>
      <c r="H275" s="111"/>
      <c r="I275" s="148"/>
    </row>
    <row r="276" spans="1:9" s="6" customFormat="1" ht="21.75" customHeight="1">
      <c r="A276" s="41" t="s">
        <v>1</v>
      </c>
      <c r="B276" s="91" t="s">
        <v>6</v>
      </c>
      <c r="C276" s="147">
        <v>3.1</v>
      </c>
      <c r="D276" s="111">
        <v>2.7</v>
      </c>
      <c r="E276" s="174">
        <v>2.8</v>
      </c>
      <c r="F276" s="111">
        <v>3</v>
      </c>
      <c r="G276" s="111">
        <v>3.5</v>
      </c>
      <c r="H276" s="111">
        <v>3.8</v>
      </c>
      <c r="I276" s="149">
        <v>4</v>
      </c>
    </row>
    <row r="277" spans="1:9" s="6" customFormat="1" ht="21.95" customHeight="1">
      <c r="A277" s="41" t="s">
        <v>13</v>
      </c>
      <c r="B277" s="91" t="s">
        <v>4</v>
      </c>
      <c r="C277" s="147">
        <v>98.6</v>
      </c>
      <c r="D277" s="147">
        <f>D276/1.076*100/C276</f>
        <v>80.944957428948328</v>
      </c>
      <c r="E277" s="187">
        <f>E276/1.066*100/D276</f>
        <v>97.283024112292395</v>
      </c>
      <c r="F277" s="147">
        <f>F276/1.114*100/E276</f>
        <v>96.178507309566555</v>
      </c>
      <c r="G277" s="147">
        <f>G276/1.081*100/F276</f>
        <v>107.92476102374347</v>
      </c>
      <c r="H277" s="147">
        <f>H276/1.063*100/G276</f>
        <v>102.13680956860638</v>
      </c>
      <c r="I277" s="147">
        <f>I276/1.049*100/H276</f>
        <v>100.3461943705785</v>
      </c>
    </row>
    <row r="278" spans="1:9" s="6" customFormat="1" ht="21.95" hidden="1" customHeight="1">
      <c r="A278" s="37" t="s">
        <v>70</v>
      </c>
      <c r="B278" s="91"/>
      <c r="C278" s="81"/>
      <c r="D278" s="81"/>
      <c r="E278" s="190"/>
      <c r="F278" s="81"/>
      <c r="G278" s="51"/>
      <c r="H278" s="51"/>
      <c r="I278" s="82"/>
    </row>
    <row r="279" spans="1:9" s="6" customFormat="1" ht="21.95" hidden="1" customHeight="1">
      <c r="A279" s="41" t="s">
        <v>1</v>
      </c>
      <c r="B279" s="91" t="s">
        <v>6</v>
      </c>
      <c r="C279" s="81">
        <v>0</v>
      </c>
      <c r="D279" s="81"/>
      <c r="E279" s="190"/>
      <c r="F279" s="81"/>
      <c r="G279" s="81"/>
      <c r="H279" s="81"/>
      <c r="I279" s="81"/>
    </row>
    <row r="280" spans="1:9" s="6" customFormat="1" ht="21.95" hidden="1" customHeight="1">
      <c r="A280" s="41" t="s">
        <v>13</v>
      </c>
      <c r="B280" s="91" t="s">
        <v>4</v>
      </c>
      <c r="C280" s="81"/>
      <c r="D280" s="81"/>
      <c r="E280" s="190"/>
      <c r="F280" s="81"/>
      <c r="G280" s="51"/>
      <c r="H280" s="51"/>
      <c r="I280" s="82"/>
    </row>
    <row r="281" spans="1:9" s="6" customFormat="1" ht="21.95" hidden="1" customHeight="1">
      <c r="A281" s="37" t="s">
        <v>71</v>
      </c>
      <c r="B281" s="91"/>
      <c r="C281" s="81"/>
      <c r="D281" s="81"/>
      <c r="E281" s="190"/>
      <c r="F281" s="81"/>
      <c r="G281" s="51"/>
      <c r="H281" s="51"/>
      <c r="I281" s="82"/>
    </row>
    <row r="282" spans="1:9" s="6" customFormat="1" ht="21.95" hidden="1" customHeight="1">
      <c r="A282" s="41" t="s">
        <v>1</v>
      </c>
      <c r="B282" s="91" t="s">
        <v>6</v>
      </c>
      <c r="C282" s="81">
        <v>0</v>
      </c>
      <c r="D282" s="81"/>
      <c r="E282" s="190"/>
      <c r="F282" s="81"/>
      <c r="G282" s="81"/>
      <c r="H282" s="81"/>
      <c r="I282" s="81"/>
    </row>
    <row r="283" spans="1:9" s="6" customFormat="1" ht="21.95" hidden="1" customHeight="1">
      <c r="A283" s="41" t="s">
        <v>13</v>
      </c>
      <c r="B283" s="91" t="s">
        <v>4</v>
      </c>
      <c r="C283" s="81"/>
      <c r="D283" s="81"/>
      <c r="E283" s="190"/>
      <c r="F283" s="81"/>
      <c r="G283" s="51"/>
      <c r="H283" s="51"/>
      <c r="I283" s="82"/>
    </row>
    <row r="284" spans="1:9" s="6" customFormat="1" ht="17.25" customHeight="1">
      <c r="A284" s="37" t="s">
        <v>72</v>
      </c>
      <c r="B284" s="91"/>
      <c r="C284" s="147"/>
      <c r="D284" s="147"/>
      <c r="E284" s="187"/>
      <c r="F284" s="147"/>
      <c r="G284" s="111"/>
      <c r="H284" s="111"/>
      <c r="I284" s="148"/>
    </row>
    <row r="285" spans="1:9" s="6" customFormat="1" ht="21.95" customHeight="1">
      <c r="A285" s="41" t="s">
        <v>1</v>
      </c>
      <c r="B285" s="91" t="s">
        <v>6</v>
      </c>
      <c r="C285" s="147">
        <v>17.7</v>
      </c>
      <c r="D285" s="147">
        <v>18</v>
      </c>
      <c r="E285" s="187">
        <v>19.5</v>
      </c>
      <c r="F285" s="147">
        <v>19.600000000000001</v>
      </c>
      <c r="G285" s="147">
        <v>19.600000000000001</v>
      </c>
      <c r="H285" s="147">
        <v>19.7</v>
      </c>
      <c r="I285" s="147">
        <v>19.7</v>
      </c>
    </row>
    <row r="286" spans="1:9" s="6" customFormat="1" ht="21.95" customHeight="1">
      <c r="A286" s="41" t="s">
        <v>13</v>
      </c>
      <c r="B286" s="91" t="s">
        <v>4</v>
      </c>
      <c r="C286" s="147">
        <v>126.8</v>
      </c>
      <c r="D286" s="147">
        <f>D285/1.076*100/C285</f>
        <v>94.512003024384086</v>
      </c>
      <c r="E286" s="187">
        <f>E285/1.066*100/D285</f>
        <v>101.6260162601626</v>
      </c>
      <c r="F286" s="147">
        <f>F285/1.114*100/E285</f>
        <v>90.226948395709613</v>
      </c>
      <c r="G286" s="147">
        <f>G285/1.081*100/F285</f>
        <v>92.506938020351527</v>
      </c>
      <c r="H286" s="147">
        <f>H285/1.063*100/G285</f>
        <v>94.55334344462149</v>
      </c>
      <c r="I286" s="147">
        <f>I285/1.049*100/H285</f>
        <v>95.328884652049581</v>
      </c>
    </row>
    <row r="287" spans="1:9" s="6" customFormat="1" ht="17.25" customHeight="1">
      <c r="A287" s="227" t="s">
        <v>73</v>
      </c>
      <c r="B287" s="228"/>
      <c r="C287" s="147"/>
      <c r="D287" s="147"/>
      <c r="E287" s="187"/>
      <c r="F287" s="147"/>
      <c r="G287" s="111"/>
      <c r="H287" s="111"/>
      <c r="I287" s="148"/>
    </row>
    <row r="288" spans="1:9" s="6" customFormat="1" ht="21.95" customHeight="1">
      <c r="A288" s="41" t="s">
        <v>1</v>
      </c>
      <c r="B288" s="91" t="s">
        <v>6</v>
      </c>
      <c r="C288" s="147">
        <v>78.168000000000006</v>
      </c>
      <c r="D288" s="147">
        <v>85.6</v>
      </c>
      <c r="E288" s="187">
        <v>91.5</v>
      </c>
      <c r="F288" s="147">
        <v>96.9</v>
      </c>
      <c r="G288" s="147">
        <v>102.7</v>
      </c>
      <c r="H288" s="147">
        <v>108.9</v>
      </c>
      <c r="I288" s="147">
        <v>115.4</v>
      </c>
    </row>
    <row r="289" spans="1:9" s="6" customFormat="1" ht="21.95" customHeight="1">
      <c r="A289" s="41" t="s">
        <v>13</v>
      </c>
      <c r="B289" s="91" t="s">
        <v>4</v>
      </c>
      <c r="C289" s="147">
        <v>107.7</v>
      </c>
      <c r="D289" s="147">
        <f>D288/1.076*100/C288</f>
        <v>101.77298043409692</v>
      </c>
      <c r="E289" s="187">
        <f>E288/1.066*100/D288</f>
        <v>100.27441216180674</v>
      </c>
      <c r="F289" s="147">
        <f>F288/1.114*100/E288</f>
        <v>95.064308208493969</v>
      </c>
      <c r="G289" s="147">
        <f>G288/1.081*100/F288</f>
        <v>98.043989006089802</v>
      </c>
      <c r="H289" s="147">
        <f>H288/1.063*100/G288</f>
        <v>99.752587933875674</v>
      </c>
      <c r="I289" s="147">
        <f>I288/1.049*100/H288</f>
        <v>101.01885481034455</v>
      </c>
    </row>
    <row r="290" spans="1:9" s="6" customFormat="1" ht="18" customHeight="1">
      <c r="A290" s="37" t="s">
        <v>74</v>
      </c>
      <c r="B290" s="91"/>
      <c r="C290" s="147"/>
      <c r="D290" s="147"/>
      <c r="E290" s="187"/>
      <c r="F290" s="147"/>
      <c r="G290" s="111"/>
      <c r="H290" s="111"/>
      <c r="I290" s="148"/>
    </row>
    <row r="291" spans="1:9" s="6" customFormat="1" ht="21.95" customHeight="1">
      <c r="A291" s="41" t="s">
        <v>1</v>
      </c>
      <c r="B291" s="91" t="s">
        <v>6</v>
      </c>
      <c r="C291" s="147">
        <v>2.6</v>
      </c>
      <c r="D291" s="112">
        <v>3</v>
      </c>
      <c r="E291" s="188">
        <v>3.2</v>
      </c>
      <c r="F291" s="112">
        <v>3.4</v>
      </c>
      <c r="G291" s="112">
        <v>3.6</v>
      </c>
      <c r="H291" s="112">
        <v>3.8</v>
      </c>
      <c r="I291" s="112">
        <v>5</v>
      </c>
    </row>
    <row r="292" spans="1:9" s="6" customFormat="1" ht="21.95" customHeight="1">
      <c r="A292" s="41" t="s">
        <v>13</v>
      </c>
      <c r="B292" s="91" t="s">
        <v>4</v>
      </c>
      <c r="C292" s="147">
        <v>106.3</v>
      </c>
      <c r="D292" s="147">
        <f>D291/1.076*100/C291</f>
        <v>107.23477266228194</v>
      </c>
      <c r="E292" s="187">
        <f>E291/1.066*100/D291</f>
        <v>100.06253908692933</v>
      </c>
      <c r="F292" s="147">
        <f>F291/1.114*100/E291</f>
        <v>95.377019748653495</v>
      </c>
      <c r="G292" s="147">
        <f>G291/1.081*100/F291</f>
        <v>97.948522609783979</v>
      </c>
      <c r="H292" s="147">
        <f>H291/1.063*100/G291</f>
        <v>99.299675969478415</v>
      </c>
      <c r="I292" s="147">
        <f>I291/1.049*100/H291</f>
        <v>125.43274296322312</v>
      </c>
    </row>
    <row r="293" spans="1:9" s="6" customFormat="1" ht="21.95" customHeight="1">
      <c r="A293" s="37" t="s">
        <v>75</v>
      </c>
      <c r="B293" s="91"/>
      <c r="C293" s="147"/>
      <c r="D293" s="147"/>
      <c r="E293" s="187"/>
      <c r="F293" s="147"/>
      <c r="G293" s="111"/>
      <c r="H293" s="111"/>
      <c r="I293" s="148"/>
    </row>
    <row r="294" spans="1:9" s="6" customFormat="1" ht="21.95" customHeight="1">
      <c r="A294" s="41" t="s">
        <v>1</v>
      </c>
      <c r="B294" s="91" t="s">
        <v>6</v>
      </c>
      <c r="C294" s="147">
        <v>0.3</v>
      </c>
      <c r="D294" s="147">
        <v>0.4</v>
      </c>
      <c r="E294" s="187">
        <v>0.4</v>
      </c>
      <c r="F294" s="147">
        <v>0.4</v>
      </c>
      <c r="G294" s="147">
        <v>0.4</v>
      </c>
      <c r="H294" s="147">
        <v>0.4</v>
      </c>
      <c r="I294" s="147">
        <v>1.4</v>
      </c>
    </row>
    <row r="295" spans="1:9" s="6" customFormat="1" ht="21.95" customHeight="1">
      <c r="A295" s="41" t="s">
        <v>13</v>
      </c>
      <c r="B295" s="91" t="s">
        <v>4</v>
      </c>
      <c r="C295" s="147">
        <v>284.89999999999998</v>
      </c>
      <c r="D295" s="147">
        <f>D294/1.076*100/C294</f>
        <v>123.91573729863693</v>
      </c>
      <c r="E295" s="187">
        <f>E294/1.066*100/D294</f>
        <v>93.808630393996239</v>
      </c>
      <c r="F295" s="147">
        <f>F294/1.114*100/E294</f>
        <v>89.766606822262119</v>
      </c>
      <c r="G295" s="147">
        <f>G294/1.081*100/F294</f>
        <v>92.506938020351527</v>
      </c>
      <c r="H295" s="147">
        <f>H294/1.063*100/G294</f>
        <v>94.073377234242713</v>
      </c>
      <c r="I295" s="147">
        <f>I294/1.049*100/H294</f>
        <v>333.65109628217346</v>
      </c>
    </row>
    <row r="296" spans="1:9" s="6" customFormat="1" ht="21.95" customHeight="1">
      <c r="A296" s="37" t="s">
        <v>76</v>
      </c>
      <c r="B296" s="91"/>
      <c r="C296" s="147"/>
      <c r="D296" s="147"/>
      <c r="E296" s="187"/>
      <c r="F296" s="147"/>
      <c r="G296" s="111"/>
      <c r="H296" s="111"/>
      <c r="I296" s="148"/>
    </row>
    <row r="297" spans="1:9" s="6" customFormat="1" ht="21.95" customHeight="1">
      <c r="A297" s="41" t="s">
        <v>1</v>
      </c>
      <c r="B297" s="91" t="s">
        <v>6</v>
      </c>
      <c r="C297" s="147">
        <f>43.7695+0.05</f>
        <v>43.819499999999998</v>
      </c>
      <c r="D297" s="112">
        <v>50.6</v>
      </c>
      <c r="E297" s="188">
        <v>52.2</v>
      </c>
      <c r="F297" s="112">
        <v>58.5</v>
      </c>
      <c r="G297" s="149">
        <v>64.900000000000006</v>
      </c>
      <c r="H297" s="149">
        <v>69.2</v>
      </c>
      <c r="I297" s="149">
        <v>72.7</v>
      </c>
    </row>
    <row r="298" spans="1:9" s="6" customFormat="1" ht="21.95" customHeight="1">
      <c r="A298" s="41" t="s">
        <v>13</v>
      </c>
      <c r="B298" s="91" t="s">
        <v>4</v>
      </c>
      <c r="C298" s="147">
        <v>87.8</v>
      </c>
      <c r="D298" s="147">
        <f>D297/1.076*100/C297</f>
        <v>107.31756935800891</v>
      </c>
      <c r="E298" s="187">
        <f>E297/1.066*100/D297</f>
        <v>96.774911196968461</v>
      </c>
      <c r="F298" s="147">
        <f>F297/1.114*100/E297</f>
        <v>100.60050764563856</v>
      </c>
      <c r="G298" s="147">
        <f>G297/1.081*100/F297</f>
        <v>102.62735517129597</v>
      </c>
      <c r="H298" s="147">
        <f>H297/1.063*100/G297</f>
        <v>100.30628204329116</v>
      </c>
      <c r="I298" s="147">
        <f>I297/1.049*100/H297</f>
        <v>100.15043228618502</v>
      </c>
    </row>
    <row r="299" spans="1:9" s="6" customFormat="1" ht="21.95" customHeight="1">
      <c r="A299" s="37" t="s">
        <v>77</v>
      </c>
      <c r="B299" s="91" t="s">
        <v>6</v>
      </c>
      <c r="C299" s="147">
        <f>13.3805+1.4576+0.0015+1.274+0.6516+0.13</f>
        <v>16.895199999999996</v>
      </c>
      <c r="D299" s="147">
        <v>21.3</v>
      </c>
      <c r="E299" s="187">
        <v>28.6</v>
      </c>
      <c r="F299" s="147">
        <v>29.7</v>
      </c>
      <c r="G299" s="147">
        <v>31.8</v>
      </c>
      <c r="H299" s="147">
        <v>36.799999999999997</v>
      </c>
      <c r="I299" s="147">
        <v>42.1</v>
      </c>
    </row>
    <row r="300" spans="1:9" s="26" customFormat="1" ht="24" customHeight="1">
      <c r="A300" s="223" t="s">
        <v>102</v>
      </c>
      <c r="B300" s="223"/>
      <c r="C300" s="223"/>
      <c r="D300" s="223"/>
      <c r="E300" s="223"/>
      <c r="F300" s="223"/>
      <c r="G300" s="223"/>
      <c r="H300" s="223"/>
      <c r="I300" s="223"/>
    </row>
    <row r="301" spans="1:9" s="5" customFormat="1" ht="44.25" customHeight="1">
      <c r="A301" s="73" t="s">
        <v>154</v>
      </c>
      <c r="B301" s="97" t="s">
        <v>44</v>
      </c>
      <c r="C301" s="106">
        <f>C303+C304+C305+C306+C307+C308</f>
        <v>15.078999999999997</v>
      </c>
      <c r="D301" s="142">
        <v>15.472</v>
      </c>
      <c r="E301" s="142">
        <v>15.054</v>
      </c>
      <c r="F301" s="142">
        <v>14.497999999999999</v>
      </c>
      <c r="G301" s="142">
        <v>14.458</v>
      </c>
      <c r="H301" s="142">
        <v>14.446999999999999</v>
      </c>
      <c r="I301" s="142">
        <v>14.455</v>
      </c>
    </row>
    <row r="302" spans="1:9" s="5" customFormat="1" ht="47.25" customHeight="1">
      <c r="A302" s="76" t="s">
        <v>155</v>
      </c>
      <c r="B302" s="97" t="s">
        <v>44</v>
      </c>
      <c r="C302" s="106"/>
      <c r="D302" s="142"/>
      <c r="E302" s="142"/>
      <c r="F302" s="106"/>
      <c r="G302" s="142"/>
      <c r="H302" s="142"/>
      <c r="I302" s="142"/>
    </row>
    <row r="303" spans="1:9" s="5" customFormat="1" ht="17.100000000000001" customHeight="1">
      <c r="A303" s="76" t="s">
        <v>156</v>
      </c>
      <c r="B303" s="97" t="s">
        <v>44</v>
      </c>
      <c r="C303" s="106">
        <v>1.7509999999999999</v>
      </c>
      <c r="D303" s="142">
        <v>1.867</v>
      </c>
      <c r="E303" s="142">
        <v>3.4580000000000002</v>
      </c>
      <c r="F303" s="142">
        <v>3.3359999999999999</v>
      </c>
      <c r="G303" s="142">
        <v>3.2919999999999998</v>
      </c>
      <c r="H303" s="142">
        <v>3.2879999999999998</v>
      </c>
      <c r="I303" s="142">
        <v>3.2909999999999999</v>
      </c>
    </row>
    <row r="304" spans="1:9" s="5" customFormat="1" ht="17.100000000000001" customHeight="1">
      <c r="A304" s="76" t="s">
        <v>157</v>
      </c>
      <c r="B304" s="97" t="s">
        <v>44</v>
      </c>
      <c r="C304" s="106">
        <v>3.262</v>
      </c>
      <c r="D304" s="142">
        <v>3.1219999999999999</v>
      </c>
      <c r="E304" s="142">
        <v>1.9219999999999999</v>
      </c>
      <c r="F304" s="142">
        <v>1.923</v>
      </c>
      <c r="G304" s="142">
        <v>1.93</v>
      </c>
      <c r="H304" s="142">
        <v>1.9239999999999999</v>
      </c>
      <c r="I304" s="142">
        <v>1.92</v>
      </c>
    </row>
    <row r="305" spans="1:9" s="5" customFormat="1" ht="30" customHeight="1">
      <c r="A305" s="76" t="s">
        <v>158</v>
      </c>
      <c r="B305" s="97" t="s">
        <v>44</v>
      </c>
      <c r="C305" s="106">
        <v>5.1999999999999998E-2</v>
      </c>
      <c r="D305" s="142">
        <v>4.1000000000000002E-2</v>
      </c>
      <c r="E305" s="142">
        <v>3.6999999999999998E-2</v>
      </c>
      <c r="F305" s="142">
        <v>3.1E-2</v>
      </c>
      <c r="G305" s="142">
        <v>3.1E-2</v>
      </c>
      <c r="H305" s="142">
        <v>3.1E-2</v>
      </c>
      <c r="I305" s="142">
        <v>3.1E-2</v>
      </c>
    </row>
    <row r="306" spans="1:9" s="5" customFormat="1" ht="16.5" customHeight="1">
      <c r="A306" s="76" t="s">
        <v>159</v>
      </c>
      <c r="B306" s="97" t="s">
        <v>44</v>
      </c>
      <c r="C306" s="145">
        <v>0.36199999999999999</v>
      </c>
      <c r="D306" s="146">
        <v>0.90100000000000002</v>
      </c>
      <c r="E306" s="146">
        <v>0.80200000000000005</v>
      </c>
      <c r="F306" s="146">
        <v>0.71699999999999997</v>
      </c>
      <c r="G306" s="146">
        <v>0.71699999999999997</v>
      </c>
      <c r="H306" s="146">
        <v>0.71699999999999997</v>
      </c>
      <c r="I306" s="146">
        <v>0.71699999999999997</v>
      </c>
    </row>
    <row r="307" spans="1:9" s="5" customFormat="1" ht="29.25" customHeight="1">
      <c r="A307" s="76" t="s">
        <v>160</v>
      </c>
      <c r="B307" s="97" t="s">
        <v>44</v>
      </c>
      <c r="C307" s="145">
        <v>2.8000000000000001E-2</v>
      </c>
      <c r="D307" s="146">
        <v>0</v>
      </c>
      <c r="E307" s="146">
        <v>8.9999999999999993E-3</v>
      </c>
      <c r="F307" s="146">
        <v>0.01</v>
      </c>
      <c r="G307" s="142">
        <v>0.01</v>
      </c>
      <c r="H307" s="142">
        <v>0.01</v>
      </c>
      <c r="I307" s="142">
        <v>0.01</v>
      </c>
    </row>
    <row r="308" spans="1:9" s="5" customFormat="1" ht="15.75" customHeight="1">
      <c r="A308" s="76" t="s">
        <v>161</v>
      </c>
      <c r="B308" s="98" t="s">
        <v>44</v>
      </c>
      <c r="C308" s="106">
        <f>C310+C311+C312</f>
        <v>9.6239999999999988</v>
      </c>
      <c r="D308" s="142">
        <v>9.5410000000000004</v>
      </c>
      <c r="E308" s="142">
        <v>8.8260000000000005</v>
      </c>
      <c r="F308" s="142">
        <v>8.4809999999999999</v>
      </c>
      <c r="G308" s="142">
        <v>8.4779999999999998</v>
      </c>
      <c r="H308" s="142">
        <v>8.4770000000000003</v>
      </c>
      <c r="I308" s="142">
        <v>8.4860000000000007</v>
      </c>
    </row>
    <row r="309" spans="1:9" s="5" customFormat="1" ht="17.100000000000001" customHeight="1">
      <c r="A309" s="76" t="s">
        <v>162</v>
      </c>
      <c r="B309" s="98" t="s">
        <v>44</v>
      </c>
      <c r="C309" s="106"/>
      <c r="D309" s="106"/>
      <c r="E309" s="142"/>
      <c r="F309" s="142"/>
      <c r="G309" s="142"/>
      <c r="H309" s="142"/>
      <c r="I309" s="142"/>
    </row>
    <row r="310" spans="1:9" s="5" customFormat="1" ht="45" customHeight="1">
      <c r="A310" s="84" t="s">
        <v>163</v>
      </c>
      <c r="B310" s="98" t="s">
        <v>44</v>
      </c>
      <c r="C310" s="106">
        <v>2.3E-2</v>
      </c>
      <c r="D310" s="106">
        <v>2.3E-2</v>
      </c>
      <c r="E310" s="142">
        <v>2.7E-2</v>
      </c>
      <c r="F310" s="142">
        <v>2.8000000000000001E-2</v>
      </c>
      <c r="G310" s="142">
        <v>3.3500000000000002E-2</v>
      </c>
      <c r="H310" s="142">
        <v>3.5999999999999997E-2</v>
      </c>
      <c r="I310" s="142">
        <v>3.5999999999999997E-2</v>
      </c>
    </row>
    <row r="311" spans="1:9" s="5" customFormat="1" ht="18.75" customHeight="1">
      <c r="A311" s="76" t="s">
        <v>164</v>
      </c>
      <c r="B311" s="98" t="s">
        <v>44</v>
      </c>
      <c r="C311" s="106">
        <v>3.2909999999999999</v>
      </c>
      <c r="D311" s="142">
        <v>2.7845</v>
      </c>
      <c r="E311" s="142">
        <v>2.2370000000000001</v>
      </c>
      <c r="F311" s="142">
        <v>1.91</v>
      </c>
      <c r="G311" s="142">
        <v>1.8360000000000001</v>
      </c>
      <c r="H311" s="142">
        <v>1.8380000000000001</v>
      </c>
      <c r="I311" s="142">
        <v>1.841</v>
      </c>
    </row>
    <row r="312" spans="1:9" s="5" customFormat="1" ht="91.5" customHeight="1">
      <c r="A312" s="76" t="s">
        <v>165</v>
      </c>
      <c r="B312" s="98" t="s">
        <v>44</v>
      </c>
      <c r="C312" s="106">
        <v>6.31</v>
      </c>
      <c r="D312" s="142">
        <v>6.7329999999999997</v>
      </c>
      <c r="E312" s="142">
        <f>6.5485+0.013</f>
        <v>6.5614999999999997</v>
      </c>
      <c r="F312" s="142">
        <v>6.5430000000000001</v>
      </c>
      <c r="G312" s="142">
        <v>6.6079999999999997</v>
      </c>
      <c r="H312" s="142">
        <v>6.6029999999999998</v>
      </c>
      <c r="I312" s="142">
        <v>6.609</v>
      </c>
    </row>
    <row r="313" spans="1:9" s="5" customFormat="1" ht="32.25" customHeight="1">
      <c r="A313" s="73" t="s">
        <v>166</v>
      </c>
      <c r="B313" s="98" t="s">
        <v>44</v>
      </c>
      <c r="C313" s="141">
        <v>8.0660000000000007</v>
      </c>
      <c r="D313" s="106">
        <v>7.8220000000000001</v>
      </c>
      <c r="E313" s="142">
        <v>7.7789999999999999</v>
      </c>
      <c r="F313" s="142">
        <v>7.3289999999999997</v>
      </c>
      <c r="G313" s="142">
        <v>7.218</v>
      </c>
      <c r="H313" s="142">
        <v>7.2089999999999996</v>
      </c>
      <c r="I313" s="142">
        <v>7.2110000000000003</v>
      </c>
    </row>
    <row r="314" spans="1:9" s="5" customFormat="1" ht="57" customHeight="1">
      <c r="A314" s="73" t="s">
        <v>172</v>
      </c>
      <c r="B314" s="98" t="s">
        <v>45</v>
      </c>
      <c r="C314" s="143">
        <v>850</v>
      </c>
      <c r="D314" s="143">
        <v>726</v>
      </c>
      <c r="E314" s="191">
        <v>711</v>
      </c>
      <c r="F314" s="143">
        <v>730</v>
      </c>
      <c r="G314" s="143">
        <v>760</v>
      </c>
      <c r="H314" s="143">
        <v>740</v>
      </c>
      <c r="I314" s="143">
        <v>740</v>
      </c>
    </row>
    <row r="315" spans="1:9" s="5" customFormat="1" ht="59.25" customHeight="1">
      <c r="A315" s="73" t="s">
        <v>173</v>
      </c>
      <c r="B315" s="98" t="s">
        <v>5</v>
      </c>
      <c r="C315" s="144">
        <v>3.6</v>
      </c>
      <c r="D315" s="144">
        <v>3.3</v>
      </c>
      <c r="E315" s="174">
        <v>3.2</v>
      </c>
      <c r="F315" s="144">
        <v>3.3</v>
      </c>
      <c r="G315" s="144">
        <v>3.4</v>
      </c>
      <c r="H315" s="144">
        <v>3.3</v>
      </c>
      <c r="I315" s="144">
        <v>3.3</v>
      </c>
    </row>
    <row r="316" spans="1:9" s="6" customFormat="1" ht="23.25" customHeight="1">
      <c r="A316" s="73" t="s">
        <v>174</v>
      </c>
      <c r="B316" s="98" t="s">
        <v>32</v>
      </c>
      <c r="C316" s="119">
        <v>2556695.1</v>
      </c>
      <c r="D316" s="119">
        <f>2725190.4+187962.9</f>
        <v>2913153.3</v>
      </c>
      <c r="E316" s="192">
        <f>2915937.7+224555.9</f>
        <v>3140493.6</v>
      </c>
      <c r="F316" s="119">
        <v>3127931.6</v>
      </c>
      <c r="G316" s="119">
        <v>3253048.6</v>
      </c>
      <c r="H316" s="119">
        <v>3412448</v>
      </c>
      <c r="I316" s="119">
        <v>3617194.9</v>
      </c>
    </row>
    <row r="317" spans="1:9" s="5" customFormat="1" ht="57.75" customHeight="1">
      <c r="A317" s="73" t="s">
        <v>99</v>
      </c>
      <c r="B317" s="98" t="s">
        <v>46</v>
      </c>
      <c r="C317" s="118">
        <f t="shared" ref="C317:I317" si="16">C316/C313/12</f>
        <v>26414.3224646665</v>
      </c>
      <c r="D317" s="118">
        <f t="shared" si="16"/>
        <v>31035.895551009973</v>
      </c>
      <c r="E317" s="193">
        <f t="shared" si="16"/>
        <v>33642.858979303252</v>
      </c>
      <c r="F317" s="118">
        <f t="shared" si="16"/>
        <v>35565.693364260704</v>
      </c>
      <c r="G317" s="118">
        <f t="shared" si="16"/>
        <v>37557.132631384498</v>
      </c>
      <c r="H317" s="118">
        <f t="shared" si="16"/>
        <v>39446.617653858608</v>
      </c>
      <c r="I317" s="118">
        <f t="shared" si="16"/>
        <v>41801.817824619793</v>
      </c>
    </row>
    <row r="318" spans="1:9" s="26" customFormat="1" ht="21" customHeight="1">
      <c r="A318" s="223" t="s">
        <v>41</v>
      </c>
      <c r="B318" s="223"/>
      <c r="C318" s="223"/>
      <c r="D318" s="223"/>
      <c r="E318" s="223"/>
      <c r="F318" s="223"/>
      <c r="G318" s="223"/>
      <c r="H318" s="223"/>
      <c r="I318" s="223"/>
    </row>
    <row r="319" spans="1:9" s="25" customFormat="1" ht="25.15" customHeight="1">
      <c r="A319" s="73" t="s">
        <v>128</v>
      </c>
      <c r="B319" s="97" t="s">
        <v>129</v>
      </c>
      <c r="C319" s="74">
        <v>10.433</v>
      </c>
      <c r="D319" s="48">
        <v>9.83</v>
      </c>
      <c r="E319" s="87">
        <v>21.015000000000001</v>
      </c>
      <c r="F319" s="216">
        <v>10.885</v>
      </c>
      <c r="G319" s="48">
        <v>15.72</v>
      </c>
      <c r="H319" s="48">
        <v>18.059999999999999</v>
      </c>
      <c r="I319" s="48">
        <v>20.100000000000001</v>
      </c>
    </row>
    <row r="320" spans="1:9" s="25" customFormat="1" ht="30" customHeight="1">
      <c r="A320" s="73" t="s">
        <v>42</v>
      </c>
      <c r="B320" s="98" t="s">
        <v>129</v>
      </c>
      <c r="C320" s="48">
        <v>-4.9279999999999999</v>
      </c>
      <c r="D320" s="48">
        <v>-4.6870000000000003</v>
      </c>
      <c r="E320" s="87">
        <v>21.015000000000001</v>
      </c>
      <c r="F320" s="216">
        <v>7.29</v>
      </c>
      <c r="G320" s="48">
        <v>14.74</v>
      </c>
      <c r="H320" s="48">
        <v>18.059999999999999</v>
      </c>
      <c r="I320" s="48">
        <v>20.100000000000001</v>
      </c>
    </row>
    <row r="321" spans="1:9" s="27" customFormat="1" ht="21" customHeight="1">
      <c r="A321" s="223" t="s">
        <v>103</v>
      </c>
      <c r="B321" s="223"/>
      <c r="C321" s="223"/>
      <c r="D321" s="223"/>
      <c r="E321" s="223"/>
      <c r="F321" s="223"/>
      <c r="G321" s="223"/>
      <c r="H321" s="223"/>
      <c r="I321" s="223"/>
    </row>
    <row r="322" spans="1:9" ht="18" customHeight="1">
      <c r="A322" s="73" t="s">
        <v>195</v>
      </c>
      <c r="B322" s="97" t="s">
        <v>37</v>
      </c>
      <c r="C322" s="54">
        <v>235</v>
      </c>
      <c r="D322" s="53">
        <v>239</v>
      </c>
      <c r="E322" s="194">
        <v>233</v>
      </c>
      <c r="F322" s="53">
        <v>233</v>
      </c>
      <c r="G322" s="53">
        <v>233</v>
      </c>
      <c r="H322" s="53">
        <v>233</v>
      </c>
      <c r="I322" s="53">
        <v>236</v>
      </c>
    </row>
    <row r="323" spans="1:9" ht="18" customHeight="1">
      <c r="A323" s="73" t="s">
        <v>236</v>
      </c>
      <c r="B323" s="97" t="s">
        <v>129</v>
      </c>
      <c r="C323" s="13">
        <v>3089.8</v>
      </c>
      <c r="D323" s="52">
        <v>2344.6</v>
      </c>
      <c r="E323" s="173">
        <v>2370.6999999999998</v>
      </c>
      <c r="F323" s="52">
        <v>2391.6999999999998</v>
      </c>
      <c r="G323" s="52">
        <v>2415.6</v>
      </c>
      <c r="H323" s="52">
        <v>2439.8000000000002</v>
      </c>
      <c r="I323" s="52">
        <v>2488.6</v>
      </c>
    </row>
    <row r="324" spans="1:9" ht="33" customHeight="1">
      <c r="A324" s="73" t="s">
        <v>196</v>
      </c>
      <c r="B324" s="97" t="s">
        <v>38</v>
      </c>
      <c r="C324" s="80">
        <v>1.3260000000000001</v>
      </c>
      <c r="D324" s="85">
        <v>1.0680000000000001</v>
      </c>
      <c r="E324" s="195">
        <v>1.173</v>
      </c>
      <c r="F324" s="85">
        <v>1.173</v>
      </c>
      <c r="G324" s="85">
        <v>1.175</v>
      </c>
      <c r="H324" s="85">
        <v>1.18</v>
      </c>
      <c r="I324" s="85">
        <v>1.1839999999999999</v>
      </c>
    </row>
    <row r="325" spans="1:9" s="26" customFormat="1" ht="22.5" customHeight="1">
      <c r="A325" s="223" t="s">
        <v>104</v>
      </c>
      <c r="B325" s="223"/>
      <c r="C325" s="223"/>
      <c r="D325" s="223"/>
      <c r="E325" s="223"/>
      <c r="F325" s="223"/>
      <c r="G325" s="223"/>
      <c r="H325" s="223"/>
      <c r="I325" s="223"/>
    </row>
    <row r="326" spans="1:9" s="5" customFormat="1" ht="17.100000000000001" customHeight="1">
      <c r="A326" s="73" t="s">
        <v>56</v>
      </c>
      <c r="B326" s="98"/>
      <c r="C326" s="68"/>
      <c r="D326" s="68"/>
      <c r="E326" s="196"/>
      <c r="F326" s="68"/>
      <c r="G326" s="68"/>
      <c r="H326" s="68"/>
      <c r="I326" s="68"/>
    </row>
    <row r="327" spans="1:9" s="5" customFormat="1" ht="33.75" customHeight="1">
      <c r="A327" s="73" t="s">
        <v>193</v>
      </c>
      <c r="B327" s="98" t="s">
        <v>247</v>
      </c>
      <c r="C327" s="139">
        <v>57</v>
      </c>
      <c r="D327" s="139">
        <v>60</v>
      </c>
      <c r="E327" s="133">
        <v>61</v>
      </c>
      <c r="F327" s="139">
        <v>60</v>
      </c>
      <c r="G327" s="139">
        <v>61</v>
      </c>
      <c r="H327" s="139">
        <v>61</v>
      </c>
      <c r="I327" s="139">
        <v>61</v>
      </c>
    </row>
    <row r="328" spans="1:9" s="5" customFormat="1" ht="30" customHeight="1">
      <c r="A328" s="73" t="s">
        <v>176</v>
      </c>
      <c r="B328" s="220" t="s">
        <v>51</v>
      </c>
      <c r="C328" s="139">
        <v>73.400000000000006</v>
      </c>
      <c r="D328" s="139">
        <v>74.400000000000006</v>
      </c>
      <c r="E328" s="133">
        <v>65.099999999999994</v>
      </c>
      <c r="F328" s="139">
        <v>65.599999999999994</v>
      </c>
      <c r="G328" s="139">
        <v>65.599999999999994</v>
      </c>
      <c r="H328" s="139">
        <v>66</v>
      </c>
      <c r="I328" s="139">
        <v>66.3</v>
      </c>
    </row>
    <row r="329" spans="1:9" s="5" customFormat="1" ht="31.5" customHeight="1">
      <c r="A329" s="73" t="s">
        <v>177</v>
      </c>
      <c r="B329" s="221"/>
      <c r="C329" s="139">
        <v>32.1</v>
      </c>
      <c r="D329" s="139">
        <v>32.5</v>
      </c>
      <c r="E329" s="133">
        <v>30</v>
      </c>
      <c r="F329" s="139">
        <v>30.2</v>
      </c>
      <c r="G329" s="139">
        <v>29.9</v>
      </c>
      <c r="H329" s="139">
        <v>30.1</v>
      </c>
      <c r="I329" s="139">
        <v>30.3</v>
      </c>
    </row>
    <row r="330" spans="1:9" s="5" customFormat="1" ht="17.25" customHeight="1">
      <c r="A330" s="73" t="s">
        <v>178</v>
      </c>
      <c r="B330" s="222"/>
      <c r="C330" s="139">
        <v>1.3</v>
      </c>
      <c r="D330" s="139">
        <v>1.3</v>
      </c>
      <c r="E330" s="133">
        <v>1.3</v>
      </c>
      <c r="F330" s="139">
        <v>1.3</v>
      </c>
      <c r="G330" s="139">
        <v>1.3</v>
      </c>
      <c r="H330" s="139">
        <v>1.3</v>
      </c>
      <c r="I330" s="139">
        <v>1.3</v>
      </c>
    </row>
    <row r="331" spans="1:9" s="5" customFormat="1" ht="45" customHeight="1">
      <c r="A331" s="73" t="s">
        <v>179</v>
      </c>
      <c r="B331" s="98" t="s">
        <v>52</v>
      </c>
      <c r="C331" s="139">
        <v>260.60000000000002</v>
      </c>
      <c r="D331" s="139">
        <v>231</v>
      </c>
      <c r="E331" s="133">
        <v>254.6</v>
      </c>
      <c r="F331" s="139">
        <v>251.9</v>
      </c>
      <c r="G331" s="111">
        <v>256</v>
      </c>
      <c r="H331" s="111">
        <v>259.39999999999998</v>
      </c>
      <c r="I331" s="111">
        <v>262.89999999999998</v>
      </c>
    </row>
    <row r="332" spans="1:9" s="5" customFormat="1" ht="14.25" customHeight="1">
      <c r="A332" s="73" t="s">
        <v>180</v>
      </c>
      <c r="B332" s="220" t="s">
        <v>53</v>
      </c>
      <c r="C332" s="139">
        <v>35.1</v>
      </c>
      <c r="D332" s="139">
        <v>31.7</v>
      </c>
      <c r="E332" s="139">
        <v>33.5</v>
      </c>
      <c r="F332" s="139">
        <v>33.799999999999997</v>
      </c>
      <c r="G332" s="139">
        <v>33.9</v>
      </c>
      <c r="H332" s="139">
        <v>34</v>
      </c>
      <c r="I332" s="139">
        <v>34.200000000000003</v>
      </c>
    </row>
    <row r="333" spans="1:9" s="5" customFormat="1" ht="18.75" customHeight="1">
      <c r="A333" s="73" t="s">
        <v>181</v>
      </c>
      <c r="B333" s="222"/>
      <c r="C333" s="139">
        <v>129.19999999999999</v>
      </c>
      <c r="D333" s="139">
        <v>130.6</v>
      </c>
      <c r="E333" s="139">
        <v>130.5</v>
      </c>
      <c r="F333" s="139">
        <v>131.1</v>
      </c>
      <c r="G333" s="139">
        <v>131</v>
      </c>
      <c r="H333" s="139">
        <v>130.9</v>
      </c>
      <c r="I333" s="139">
        <v>131.6</v>
      </c>
    </row>
    <row r="334" spans="1:9" s="5" customFormat="1" ht="34.5" customHeight="1">
      <c r="A334" s="73" t="s">
        <v>182</v>
      </c>
      <c r="B334" s="98" t="s">
        <v>54</v>
      </c>
      <c r="C334" s="136">
        <v>20.100000000000001</v>
      </c>
      <c r="D334" s="136">
        <v>20.399999999999999</v>
      </c>
      <c r="E334" s="197">
        <v>20.5</v>
      </c>
      <c r="F334" s="136">
        <v>20.7</v>
      </c>
      <c r="G334" s="137">
        <v>20.8</v>
      </c>
      <c r="H334" s="137">
        <v>20.9</v>
      </c>
      <c r="I334" s="138">
        <v>21.1</v>
      </c>
    </row>
    <row r="335" spans="1:9" s="5" customFormat="1" ht="18" customHeight="1">
      <c r="A335" s="73" t="s">
        <v>183</v>
      </c>
      <c r="B335" s="98" t="s">
        <v>37</v>
      </c>
      <c r="C335" s="136">
        <v>8</v>
      </c>
      <c r="D335" s="136">
        <v>8</v>
      </c>
      <c r="E335" s="197">
        <v>8</v>
      </c>
      <c r="F335" s="136">
        <v>26</v>
      </c>
      <c r="G335" s="136">
        <v>26</v>
      </c>
      <c r="H335" s="136">
        <v>26</v>
      </c>
      <c r="I335" s="136">
        <v>26</v>
      </c>
    </row>
    <row r="336" spans="1:9" s="5" customFormat="1" ht="18" customHeight="1">
      <c r="A336" s="73" t="s">
        <v>184</v>
      </c>
      <c r="B336" s="98" t="s">
        <v>37</v>
      </c>
      <c r="C336" s="136">
        <v>18</v>
      </c>
      <c r="D336" s="136">
        <v>18</v>
      </c>
      <c r="E336" s="197">
        <v>18</v>
      </c>
      <c r="F336" s="136">
        <v>17</v>
      </c>
      <c r="G336" s="136">
        <v>17</v>
      </c>
      <c r="H336" s="136">
        <v>17</v>
      </c>
      <c r="I336" s="136">
        <v>17</v>
      </c>
    </row>
    <row r="337" spans="1:9" s="5" customFormat="1" ht="26.25" customHeight="1">
      <c r="A337" s="73" t="s">
        <v>185</v>
      </c>
      <c r="B337" s="98" t="s">
        <v>96</v>
      </c>
      <c r="C337" s="136">
        <v>1.4</v>
      </c>
      <c r="D337" s="136">
        <v>1.4</v>
      </c>
      <c r="E337" s="197">
        <v>1.5</v>
      </c>
      <c r="F337" s="136">
        <v>1.5</v>
      </c>
      <c r="G337" s="136">
        <v>1.5</v>
      </c>
      <c r="H337" s="136">
        <v>1.8</v>
      </c>
      <c r="I337" s="136">
        <v>1.8</v>
      </c>
    </row>
    <row r="338" spans="1:9" s="5" customFormat="1" ht="28.5" customHeight="1">
      <c r="A338" s="73" t="s">
        <v>186</v>
      </c>
      <c r="B338" s="98" t="s">
        <v>97</v>
      </c>
      <c r="C338" s="136">
        <v>9553.1</v>
      </c>
      <c r="D338" s="136">
        <v>9699</v>
      </c>
      <c r="E338" s="197">
        <v>9773.6</v>
      </c>
      <c r="F338" s="136">
        <v>9849.4</v>
      </c>
      <c r="G338" s="137">
        <v>12281.8</v>
      </c>
      <c r="H338" s="137">
        <v>12346.1</v>
      </c>
      <c r="I338" s="138">
        <v>12411.1</v>
      </c>
    </row>
    <row r="339" spans="1:9" s="5" customFormat="1" ht="60" customHeight="1">
      <c r="A339" s="73" t="s">
        <v>187</v>
      </c>
      <c r="B339" s="98" t="s">
        <v>98</v>
      </c>
      <c r="C339" s="136">
        <v>50.1</v>
      </c>
      <c r="D339" s="136">
        <v>50.9</v>
      </c>
      <c r="E339" s="197">
        <v>51.4</v>
      </c>
      <c r="F339" s="136">
        <v>51.7</v>
      </c>
      <c r="G339" s="137">
        <v>52.1</v>
      </c>
      <c r="H339" s="137">
        <v>52.4</v>
      </c>
      <c r="I339" s="138">
        <v>52.6</v>
      </c>
    </row>
    <row r="340" spans="1:9" s="5" customFormat="1" ht="45" customHeight="1">
      <c r="A340" s="73" t="s">
        <v>55</v>
      </c>
      <c r="B340" s="98" t="s">
        <v>5</v>
      </c>
      <c r="C340" s="139">
        <v>81</v>
      </c>
      <c r="D340" s="139">
        <v>82</v>
      </c>
      <c r="E340" s="133">
        <v>82</v>
      </c>
      <c r="F340" s="139">
        <v>78</v>
      </c>
      <c r="G340" s="139">
        <v>74</v>
      </c>
      <c r="H340" s="139">
        <v>70</v>
      </c>
      <c r="I340" s="139">
        <v>60</v>
      </c>
    </row>
    <row r="341" spans="1:9" s="5" customFormat="1" ht="17.100000000000001" customHeight="1">
      <c r="A341" s="73" t="s">
        <v>14</v>
      </c>
      <c r="B341" s="98"/>
      <c r="C341" s="139"/>
      <c r="D341" s="139"/>
      <c r="E341" s="133"/>
      <c r="F341" s="139"/>
      <c r="G341" s="139"/>
      <c r="H341" s="139"/>
      <c r="I341" s="139"/>
    </row>
    <row r="342" spans="1:9" s="5" customFormat="1" ht="17.100000000000001" customHeight="1">
      <c r="A342" s="73" t="s">
        <v>188</v>
      </c>
      <c r="B342" s="98" t="s">
        <v>5</v>
      </c>
      <c r="C342" s="139">
        <v>74</v>
      </c>
      <c r="D342" s="139">
        <v>73</v>
      </c>
      <c r="E342" s="133">
        <v>71</v>
      </c>
      <c r="F342" s="139">
        <v>65</v>
      </c>
      <c r="G342" s="139">
        <v>58</v>
      </c>
      <c r="H342" s="139">
        <v>50</v>
      </c>
      <c r="I342" s="139">
        <v>35</v>
      </c>
    </row>
    <row r="343" spans="1:9" s="5" customFormat="1" ht="18" customHeight="1">
      <c r="A343" s="73" t="s">
        <v>189</v>
      </c>
      <c r="B343" s="98" t="s">
        <v>5</v>
      </c>
      <c r="C343" s="139">
        <v>92</v>
      </c>
      <c r="D343" s="139">
        <v>97</v>
      </c>
      <c r="E343" s="133">
        <v>98</v>
      </c>
      <c r="F343" s="139">
        <v>99</v>
      </c>
      <c r="G343" s="139">
        <v>99</v>
      </c>
      <c r="H343" s="139">
        <v>100</v>
      </c>
      <c r="I343" s="139">
        <v>100</v>
      </c>
    </row>
    <row r="344" spans="1:9" s="5" customFormat="1" ht="57.75" customHeight="1">
      <c r="A344" s="73" t="s">
        <v>244</v>
      </c>
      <c r="B344" s="98" t="s">
        <v>238</v>
      </c>
      <c r="C344" s="140">
        <v>0.66</v>
      </c>
      <c r="D344" s="140">
        <v>0.66</v>
      </c>
      <c r="E344" s="198">
        <v>0.62</v>
      </c>
      <c r="F344" s="140">
        <v>0.6</v>
      </c>
      <c r="G344" s="140">
        <v>0.62</v>
      </c>
      <c r="H344" s="140">
        <v>0.56999999999999995</v>
      </c>
      <c r="I344" s="140">
        <v>0.61</v>
      </c>
    </row>
    <row r="345" spans="1:9" s="28" customFormat="1" ht="23.25" customHeight="1">
      <c r="A345" s="231" t="s">
        <v>210</v>
      </c>
      <c r="B345" s="231"/>
      <c r="C345" s="231"/>
      <c r="D345" s="231"/>
      <c r="E345" s="231"/>
      <c r="F345" s="231"/>
      <c r="G345" s="231"/>
      <c r="H345" s="231"/>
      <c r="I345" s="231"/>
    </row>
    <row r="346" spans="1:9" s="3" customFormat="1" ht="36.75" customHeight="1">
      <c r="A346" s="73" t="s">
        <v>215</v>
      </c>
      <c r="B346" s="98" t="s">
        <v>36</v>
      </c>
      <c r="C346" s="130">
        <f>344.9+35</f>
        <v>379.9</v>
      </c>
      <c r="D346" s="133">
        <v>388</v>
      </c>
      <c r="E346" s="133">
        <f>353+35</f>
        <v>388</v>
      </c>
      <c r="F346" s="133">
        <v>388</v>
      </c>
      <c r="G346" s="133">
        <v>388</v>
      </c>
      <c r="H346" s="133">
        <v>388</v>
      </c>
      <c r="I346" s="133">
        <v>388</v>
      </c>
    </row>
    <row r="347" spans="1:9" s="3" customFormat="1" ht="15" customHeight="1">
      <c r="A347" s="73" t="s">
        <v>216</v>
      </c>
      <c r="B347" s="98"/>
      <c r="C347" s="130"/>
      <c r="D347" s="133"/>
      <c r="E347" s="133"/>
      <c r="F347" s="134"/>
      <c r="G347" s="134"/>
      <c r="H347" s="134"/>
      <c r="I347" s="135"/>
    </row>
    <row r="348" spans="1:9" s="3" customFormat="1" ht="25.5" customHeight="1">
      <c r="A348" s="73" t="s">
        <v>217</v>
      </c>
      <c r="B348" s="98" t="s">
        <v>36</v>
      </c>
      <c r="C348" s="130">
        <f>344.9+35</f>
        <v>379.9</v>
      </c>
      <c r="D348" s="133">
        <v>388</v>
      </c>
      <c r="E348" s="133">
        <f>353+35</f>
        <v>388</v>
      </c>
      <c r="F348" s="133">
        <v>388</v>
      </c>
      <c r="G348" s="133">
        <v>388</v>
      </c>
      <c r="H348" s="133">
        <v>388</v>
      </c>
      <c r="I348" s="133">
        <v>388</v>
      </c>
    </row>
    <row r="349" spans="1:9" s="3" customFormat="1" ht="20.25" customHeight="1">
      <c r="A349" s="73" t="s">
        <v>218</v>
      </c>
      <c r="B349" s="98" t="s">
        <v>36</v>
      </c>
      <c r="C349" s="130">
        <v>0</v>
      </c>
      <c r="D349" s="133">
        <v>0</v>
      </c>
      <c r="E349" s="133">
        <v>0</v>
      </c>
      <c r="F349" s="133">
        <v>0</v>
      </c>
      <c r="G349" s="133">
        <v>0</v>
      </c>
      <c r="H349" s="133">
        <v>0</v>
      </c>
      <c r="I349" s="133">
        <v>0</v>
      </c>
    </row>
    <row r="350" spans="1:9" s="3" customFormat="1" ht="32.25" customHeight="1">
      <c r="A350" s="73" t="s">
        <v>219</v>
      </c>
      <c r="B350" s="98" t="s">
        <v>36</v>
      </c>
      <c r="C350" s="130">
        <v>329.9</v>
      </c>
      <c r="D350" s="133">
        <v>251</v>
      </c>
      <c r="E350" s="133">
        <v>251.8</v>
      </c>
      <c r="F350" s="130">
        <v>251.8</v>
      </c>
      <c r="G350" s="130">
        <v>251.8</v>
      </c>
      <c r="H350" s="130">
        <v>251.8</v>
      </c>
      <c r="I350" s="130">
        <v>251.8</v>
      </c>
    </row>
    <row r="351" spans="1:9" s="3" customFormat="1" ht="21.75" customHeight="1">
      <c r="A351" s="73" t="s">
        <v>216</v>
      </c>
      <c r="B351" s="98"/>
      <c r="C351" s="130"/>
      <c r="D351" s="133"/>
      <c r="E351" s="133"/>
      <c r="F351" s="134"/>
      <c r="G351" s="134"/>
      <c r="H351" s="134"/>
      <c r="I351" s="135"/>
    </row>
    <row r="352" spans="1:9" s="3" customFormat="1" ht="19.5" customHeight="1">
      <c r="A352" s="73" t="s">
        <v>217</v>
      </c>
      <c r="B352" s="98" t="s">
        <v>36</v>
      </c>
      <c r="C352" s="130">
        <v>329.9</v>
      </c>
      <c r="D352" s="133">
        <v>251.04599999999999</v>
      </c>
      <c r="E352" s="133">
        <v>251.8</v>
      </c>
      <c r="F352" s="130">
        <v>251.8</v>
      </c>
      <c r="G352" s="130">
        <v>251.8</v>
      </c>
      <c r="H352" s="130">
        <v>251.8</v>
      </c>
      <c r="I352" s="130">
        <v>251.8</v>
      </c>
    </row>
    <row r="353" spans="1:9" s="3" customFormat="1" ht="19.5" customHeight="1">
      <c r="A353" s="73" t="s">
        <v>218</v>
      </c>
      <c r="B353" s="98" t="s">
        <v>36</v>
      </c>
      <c r="C353" s="130">
        <v>0</v>
      </c>
      <c r="D353" s="133">
        <v>0</v>
      </c>
      <c r="E353" s="133">
        <v>0</v>
      </c>
      <c r="F353" s="133">
        <v>0</v>
      </c>
      <c r="G353" s="133">
        <v>0</v>
      </c>
      <c r="H353" s="133">
        <v>0</v>
      </c>
      <c r="I353" s="133">
        <v>0</v>
      </c>
    </row>
    <row r="354" spans="1:9" s="4" customFormat="1" ht="31.5" customHeight="1">
      <c r="A354" s="73" t="s">
        <v>82</v>
      </c>
      <c r="B354" s="98" t="s">
        <v>36</v>
      </c>
      <c r="C354" s="130">
        <v>1.5</v>
      </c>
      <c r="D354" s="133">
        <v>0</v>
      </c>
      <c r="E354" s="133">
        <v>0</v>
      </c>
      <c r="F354" s="133">
        <v>0</v>
      </c>
      <c r="G354" s="133">
        <v>0</v>
      </c>
      <c r="H354" s="133">
        <v>0</v>
      </c>
      <c r="I354" s="133">
        <v>0</v>
      </c>
    </row>
    <row r="355" spans="1:9" s="26" customFormat="1" ht="21" customHeight="1">
      <c r="A355" s="223" t="s">
        <v>242</v>
      </c>
      <c r="B355" s="223"/>
      <c r="C355" s="223"/>
      <c r="D355" s="223"/>
      <c r="E355" s="223"/>
      <c r="F355" s="223"/>
      <c r="G355" s="223"/>
      <c r="H355" s="223"/>
      <c r="I355" s="223"/>
    </row>
    <row r="356" spans="1:9" s="5" customFormat="1" ht="34.5" customHeight="1">
      <c r="A356" s="88" t="s">
        <v>47</v>
      </c>
      <c r="B356" s="98" t="s">
        <v>167</v>
      </c>
      <c r="C356" s="127">
        <v>6.1219999999999999</v>
      </c>
      <c r="D356" s="127">
        <v>7.7329999999999997</v>
      </c>
      <c r="E356" s="199">
        <v>13.196999999999999</v>
      </c>
      <c r="F356" s="127">
        <v>7.2</v>
      </c>
      <c r="G356" s="127">
        <v>7.6749999999999998</v>
      </c>
      <c r="H356" s="127">
        <v>7.69</v>
      </c>
      <c r="I356" s="127">
        <v>7.7</v>
      </c>
    </row>
    <row r="357" spans="1:9" s="5" customFormat="1" ht="18" customHeight="1">
      <c r="A357" s="88" t="s">
        <v>14</v>
      </c>
      <c r="B357" s="97"/>
      <c r="C357" s="128"/>
      <c r="D357" s="128"/>
      <c r="E357" s="129"/>
      <c r="F357" s="128"/>
      <c r="G357" s="128"/>
      <c r="H357" s="128"/>
      <c r="I357" s="128"/>
    </row>
    <row r="358" spans="1:9" s="5" customFormat="1" ht="33.75">
      <c r="A358" s="88" t="s">
        <v>168</v>
      </c>
      <c r="B358" s="98" t="s">
        <v>167</v>
      </c>
      <c r="C358" s="128">
        <v>0</v>
      </c>
      <c r="D358" s="128">
        <v>0</v>
      </c>
      <c r="E358" s="129">
        <v>0</v>
      </c>
      <c r="F358" s="128">
        <v>0</v>
      </c>
      <c r="G358" s="128">
        <v>0</v>
      </c>
      <c r="H358" s="128">
        <v>0</v>
      </c>
      <c r="I358" s="128">
        <v>0</v>
      </c>
    </row>
    <row r="359" spans="1:9" s="5" customFormat="1" ht="45" customHeight="1">
      <c r="A359" s="88" t="s">
        <v>169</v>
      </c>
      <c r="B359" s="98" t="s">
        <v>167</v>
      </c>
      <c r="C359" s="127">
        <v>4.6230000000000002</v>
      </c>
      <c r="D359" s="127">
        <v>6.4160000000000004</v>
      </c>
      <c r="E359" s="199">
        <v>7.1369999999999996</v>
      </c>
      <c r="F359" s="127">
        <v>5.6</v>
      </c>
      <c r="G359" s="127">
        <v>6.1749999999999998</v>
      </c>
      <c r="H359" s="127">
        <v>6.19</v>
      </c>
      <c r="I359" s="127">
        <v>6.2</v>
      </c>
    </row>
    <row r="360" spans="1:9" s="5" customFormat="1" ht="32.25" customHeight="1">
      <c r="A360" s="88" t="s">
        <v>175</v>
      </c>
      <c r="B360" s="98" t="s">
        <v>170</v>
      </c>
      <c r="C360" s="129">
        <v>83.4</v>
      </c>
      <c r="D360" s="129">
        <v>81.5</v>
      </c>
      <c r="E360" s="129">
        <v>66.900000000000006</v>
      </c>
      <c r="F360" s="129">
        <v>64.5</v>
      </c>
      <c r="G360" s="129">
        <v>62.6</v>
      </c>
      <c r="H360" s="129">
        <v>60.1</v>
      </c>
      <c r="I360" s="129">
        <v>57.3</v>
      </c>
    </row>
    <row r="361" spans="1:9" s="5" customFormat="1" ht="17.100000000000001" customHeight="1">
      <c r="A361" s="88" t="s">
        <v>14</v>
      </c>
      <c r="B361" s="98"/>
      <c r="C361" s="130"/>
      <c r="D361" s="130"/>
      <c r="E361" s="131"/>
      <c r="F361" s="131"/>
      <c r="G361" s="130"/>
      <c r="H361" s="130"/>
      <c r="I361" s="131"/>
    </row>
    <row r="362" spans="1:9" s="5" customFormat="1" ht="19.5" customHeight="1">
      <c r="A362" s="88" t="s">
        <v>171</v>
      </c>
      <c r="B362" s="98" t="s">
        <v>170</v>
      </c>
      <c r="C362" s="130">
        <v>57.8</v>
      </c>
      <c r="D362" s="130">
        <v>59.1</v>
      </c>
      <c r="E362" s="130">
        <v>20.3</v>
      </c>
      <c r="F362" s="130">
        <v>22.5</v>
      </c>
      <c r="G362" s="130">
        <v>25</v>
      </c>
      <c r="H362" s="130">
        <v>27</v>
      </c>
      <c r="I362" s="130">
        <v>30</v>
      </c>
    </row>
    <row r="363" spans="1:9" s="5" customFormat="1" ht="42.75" customHeight="1">
      <c r="A363" s="89" t="s">
        <v>48</v>
      </c>
      <c r="B363" s="98" t="s">
        <v>49</v>
      </c>
      <c r="C363" s="130">
        <v>26.8</v>
      </c>
      <c r="D363" s="130">
        <v>26.1</v>
      </c>
      <c r="E363" s="130">
        <v>26.7</v>
      </c>
      <c r="F363" s="130">
        <v>26.7</v>
      </c>
      <c r="G363" s="130">
        <v>27.1</v>
      </c>
      <c r="H363" s="130">
        <v>27.5</v>
      </c>
      <c r="I363" s="130">
        <v>27.7</v>
      </c>
    </row>
    <row r="364" spans="1:9" s="6" customFormat="1" ht="42" customHeight="1">
      <c r="A364" s="89" t="s">
        <v>243</v>
      </c>
      <c r="B364" s="98" t="s">
        <v>138</v>
      </c>
      <c r="C364" s="130">
        <v>50</v>
      </c>
      <c r="D364" s="130">
        <v>50</v>
      </c>
      <c r="E364" s="130">
        <v>53</v>
      </c>
      <c r="F364" s="130">
        <v>53</v>
      </c>
      <c r="G364" s="130">
        <v>53</v>
      </c>
      <c r="H364" s="130">
        <v>53</v>
      </c>
      <c r="I364" s="130">
        <v>53</v>
      </c>
    </row>
    <row r="365" spans="1:9" s="5" customFormat="1" ht="47.25" customHeight="1">
      <c r="A365" s="89" t="s">
        <v>241</v>
      </c>
      <c r="B365" s="98" t="s">
        <v>167</v>
      </c>
      <c r="C365" s="130">
        <v>1.43</v>
      </c>
      <c r="D365" s="130">
        <v>1.45</v>
      </c>
      <c r="E365" s="130">
        <v>1.63</v>
      </c>
      <c r="F365" s="130">
        <v>1.63</v>
      </c>
      <c r="G365" s="130">
        <v>1.63</v>
      </c>
      <c r="H365" s="130">
        <v>1.63</v>
      </c>
      <c r="I365" s="130">
        <v>1.63</v>
      </c>
    </row>
    <row r="366" spans="1:9" s="5" customFormat="1" ht="42" customHeight="1">
      <c r="A366" s="89" t="s">
        <v>245</v>
      </c>
      <c r="B366" s="98" t="s">
        <v>5</v>
      </c>
      <c r="C366" s="130">
        <v>100</v>
      </c>
      <c r="D366" s="130">
        <v>100</v>
      </c>
      <c r="E366" s="130">
        <v>100</v>
      </c>
      <c r="F366" s="130">
        <v>100</v>
      </c>
      <c r="G366" s="130">
        <v>100</v>
      </c>
      <c r="H366" s="130">
        <v>100</v>
      </c>
      <c r="I366" s="132">
        <v>100</v>
      </c>
    </row>
    <row r="367" spans="1:9" s="6" customFormat="1" ht="44.25" customHeight="1">
      <c r="A367" s="89" t="s">
        <v>194</v>
      </c>
      <c r="B367" s="98" t="s">
        <v>197</v>
      </c>
      <c r="C367" s="130">
        <v>2.9999999999999997E-4</v>
      </c>
      <c r="D367" s="130">
        <v>0</v>
      </c>
      <c r="E367" s="130">
        <v>0</v>
      </c>
      <c r="F367" s="130">
        <v>0.27400000000000002</v>
      </c>
      <c r="G367" s="130">
        <v>0.39500000000000002</v>
      </c>
      <c r="H367" s="130">
        <v>0.46800000000000003</v>
      </c>
      <c r="I367" s="130">
        <v>0.69199999999999995</v>
      </c>
    </row>
    <row r="368" spans="1:9" s="5" customFormat="1" ht="42" customHeight="1">
      <c r="A368" s="90" t="s">
        <v>50</v>
      </c>
      <c r="B368" s="103" t="s">
        <v>43</v>
      </c>
      <c r="C368" s="130">
        <v>447.6</v>
      </c>
      <c r="D368" s="130">
        <v>423.67</v>
      </c>
      <c r="E368" s="130">
        <v>408.72</v>
      </c>
      <c r="F368" s="130">
        <v>458.18</v>
      </c>
      <c r="G368" s="130">
        <v>501.2</v>
      </c>
      <c r="H368" s="130">
        <v>542.35</v>
      </c>
      <c r="I368" s="130">
        <v>581.39</v>
      </c>
    </row>
    <row r="369" spans="1:9" s="29" customFormat="1" ht="21" customHeight="1">
      <c r="A369" s="223" t="s">
        <v>105</v>
      </c>
      <c r="B369" s="223"/>
      <c r="C369" s="223"/>
      <c r="D369" s="223"/>
      <c r="E369" s="223"/>
      <c r="F369" s="223"/>
      <c r="G369" s="223"/>
      <c r="H369" s="223"/>
      <c r="I369" s="223"/>
    </row>
    <row r="370" spans="1:9" s="27" customFormat="1" ht="58.5" customHeight="1">
      <c r="A370" s="73" t="s">
        <v>124</v>
      </c>
      <c r="B370" s="104" t="s">
        <v>109</v>
      </c>
      <c r="C370" s="126">
        <v>1183288</v>
      </c>
      <c r="D370" s="126">
        <v>1089676</v>
      </c>
      <c r="E370" s="200">
        <v>1926079</v>
      </c>
      <c r="F370" s="126">
        <v>1867849</v>
      </c>
      <c r="G370" s="126">
        <v>1841896</v>
      </c>
      <c r="H370" s="126">
        <v>1808272</v>
      </c>
      <c r="I370" s="126">
        <v>1777568</v>
      </c>
    </row>
    <row r="371" spans="1:9" s="29" customFormat="1" ht="21" customHeight="1">
      <c r="A371" s="223" t="s">
        <v>106</v>
      </c>
      <c r="B371" s="223"/>
      <c r="C371" s="223"/>
      <c r="D371" s="223"/>
      <c r="E371" s="223"/>
      <c r="F371" s="223"/>
      <c r="G371" s="223"/>
      <c r="H371" s="223"/>
      <c r="I371" s="223"/>
    </row>
    <row r="372" spans="1:9" s="30" customFormat="1" ht="21" customHeight="1">
      <c r="A372" s="73" t="s">
        <v>110</v>
      </c>
      <c r="B372" s="104" t="s">
        <v>121</v>
      </c>
      <c r="C372" s="120">
        <v>17112380</v>
      </c>
      <c r="D372" s="120">
        <v>17112380</v>
      </c>
      <c r="E372" s="201">
        <v>17112380</v>
      </c>
      <c r="F372" s="120">
        <v>17112380</v>
      </c>
      <c r="G372" s="120">
        <v>17112380</v>
      </c>
      <c r="H372" s="120">
        <v>17112380</v>
      </c>
      <c r="I372" s="120">
        <v>17112380</v>
      </c>
    </row>
    <row r="373" spans="1:9" s="30" customFormat="1" ht="15" customHeight="1">
      <c r="A373" s="73" t="s">
        <v>14</v>
      </c>
      <c r="B373" s="104"/>
      <c r="C373" s="120"/>
      <c r="D373" s="120"/>
      <c r="E373" s="201"/>
      <c r="F373" s="120"/>
      <c r="G373" s="120"/>
      <c r="H373" s="120"/>
      <c r="I373" s="120"/>
    </row>
    <row r="374" spans="1:9" s="30" customFormat="1" ht="21" customHeight="1">
      <c r="A374" s="73" t="s">
        <v>125</v>
      </c>
      <c r="B374" s="104" t="s">
        <v>121</v>
      </c>
      <c r="C374" s="125">
        <v>1629518</v>
      </c>
      <c r="D374" s="125">
        <v>1629142</v>
      </c>
      <c r="E374" s="202">
        <v>1626450</v>
      </c>
      <c r="F374" s="125">
        <v>1626420</v>
      </c>
      <c r="G374" s="125">
        <v>1636320</v>
      </c>
      <c r="H374" s="125">
        <v>1635820</v>
      </c>
      <c r="I374" s="125">
        <v>1635620</v>
      </c>
    </row>
    <row r="375" spans="1:9" s="30" customFormat="1" ht="28.5" customHeight="1">
      <c r="A375" s="73" t="s">
        <v>126</v>
      </c>
      <c r="B375" s="104" t="s">
        <v>121</v>
      </c>
      <c r="C375" s="125">
        <v>15482862</v>
      </c>
      <c r="D375" s="125">
        <v>15483238</v>
      </c>
      <c r="E375" s="202">
        <v>15485930</v>
      </c>
      <c r="F375" s="125">
        <v>15485960</v>
      </c>
      <c r="G375" s="125">
        <v>15476060</v>
      </c>
      <c r="H375" s="125">
        <v>15476560</v>
      </c>
      <c r="I375" s="125">
        <v>15476760</v>
      </c>
    </row>
    <row r="376" spans="1:9" s="30" customFormat="1" ht="17.25" customHeight="1">
      <c r="A376" s="78" t="s">
        <v>111</v>
      </c>
      <c r="B376" s="104" t="s">
        <v>121</v>
      </c>
      <c r="C376" s="125">
        <v>150880</v>
      </c>
      <c r="D376" s="125">
        <v>150875</v>
      </c>
      <c r="E376" s="202">
        <v>159470</v>
      </c>
      <c r="F376" s="125">
        <v>161970</v>
      </c>
      <c r="G376" s="125">
        <v>162030</v>
      </c>
      <c r="H376" s="125">
        <v>162120</v>
      </c>
      <c r="I376" s="125">
        <v>162210</v>
      </c>
    </row>
    <row r="377" spans="1:9" s="27" customFormat="1" ht="18.75" customHeight="1">
      <c r="A377" s="73" t="s">
        <v>112</v>
      </c>
      <c r="B377" s="104" t="s">
        <v>121</v>
      </c>
      <c r="C377" s="125">
        <v>129340</v>
      </c>
      <c r="D377" s="125">
        <v>129330</v>
      </c>
      <c r="E377" s="202">
        <v>129330</v>
      </c>
      <c r="F377" s="125">
        <v>129330</v>
      </c>
      <c r="G377" s="125">
        <v>129330</v>
      </c>
      <c r="H377" s="125">
        <v>129320</v>
      </c>
      <c r="I377" s="125">
        <v>129310</v>
      </c>
    </row>
    <row r="378" spans="1:9" s="27" customFormat="1" ht="17.25" customHeight="1">
      <c r="A378" s="73" t="s">
        <v>113</v>
      </c>
      <c r="B378" s="104" t="s">
        <v>121</v>
      </c>
      <c r="C378" s="125">
        <v>21540</v>
      </c>
      <c r="D378" s="125">
        <v>21545</v>
      </c>
      <c r="E378" s="202">
        <v>30140</v>
      </c>
      <c r="F378" s="125">
        <v>32640</v>
      </c>
      <c r="G378" s="125">
        <v>32700</v>
      </c>
      <c r="H378" s="125">
        <v>32800</v>
      </c>
      <c r="I378" s="125">
        <v>32900</v>
      </c>
    </row>
    <row r="379" spans="1:9" s="27" customFormat="1" ht="15.75" customHeight="1">
      <c r="A379" s="78" t="s">
        <v>114</v>
      </c>
      <c r="B379" s="104" t="s">
        <v>121</v>
      </c>
      <c r="C379" s="125">
        <v>247780</v>
      </c>
      <c r="D379" s="125">
        <v>247790</v>
      </c>
      <c r="E379" s="202">
        <f>E380+E381</f>
        <v>247780</v>
      </c>
      <c r="F379" s="125">
        <f t="shared" ref="F379:I379" si="17">F380+F381</f>
        <v>246440</v>
      </c>
      <c r="G379" s="125">
        <f t="shared" si="17"/>
        <v>246490</v>
      </c>
      <c r="H379" s="125">
        <f t="shared" si="17"/>
        <v>246590</v>
      </c>
      <c r="I379" s="125">
        <f t="shared" si="17"/>
        <v>246690</v>
      </c>
    </row>
    <row r="380" spans="1:9" s="27" customFormat="1" ht="18" customHeight="1">
      <c r="A380" s="73" t="s">
        <v>115</v>
      </c>
      <c r="B380" s="104" t="s">
        <v>121</v>
      </c>
      <c r="C380" s="125">
        <v>220360</v>
      </c>
      <c r="D380" s="125">
        <v>220360</v>
      </c>
      <c r="E380" s="202">
        <v>220330</v>
      </c>
      <c r="F380" s="125">
        <v>218940</v>
      </c>
      <c r="G380" s="125">
        <v>218940</v>
      </c>
      <c r="H380" s="125">
        <v>218940</v>
      </c>
      <c r="I380" s="125">
        <v>218940</v>
      </c>
    </row>
    <row r="381" spans="1:9" s="27" customFormat="1" ht="18" customHeight="1">
      <c r="A381" s="73" t="s">
        <v>113</v>
      </c>
      <c r="B381" s="104" t="s">
        <v>121</v>
      </c>
      <c r="C381" s="125">
        <v>27420</v>
      </c>
      <c r="D381" s="125">
        <v>27430</v>
      </c>
      <c r="E381" s="202">
        <v>27450</v>
      </c>
      <c r="F381" s="125">
        <v>27500</v>
      </c>
      <c r="G381" s="125">
        <v>27550</v>
      </c>
      <c r="H381" s="125">
        <v>27650</v>
      </c>
      <c r="I381" s="125">
        <v>27750</v>
      </c>
    </row>
    <row r="382" spans="1:9" s="27" customFormat="1" ht="34.5" customHeight="1">
      <c r="A382" s="73" t="s">
        <v>127</v>
      </c>
      <c r="B382" s="104" t="s">
        <v>121</v>
      </c>
      <c r="C382" s="125">
        <v>10540</v>
      </c>
      <c r="D382" s="125">
        <v>10540</v>
      </c>
      <c r="E382" s="202">
        <f>E384+E385</f>
        <v>10540</v>
      </c>
      <c r="F382" s="125">
        <f t="shared" ref="F382:I382" si="18">F384+F385</f>
        <v>10540</v>
      </c>
      <c r="G382" s="125">
        <f t="shared" si="18"/>
        <v>10540</v>
      </c>
      <c r="H382" s="125">
        <f t="shared" si="18"/>
        <v>10590</v>
      </c>
      <c r="I382" s="125">
        <f t="shared" si="18"/>
        <v>10650</v>
      </c>
    </row>
    <row r="383" spans="1:9" s="27" customFormat="1" ht="16.5" customHeight="1">
      <c r="A383" s="73" t="s">
        <v>14</v>
      </c>
      <c r="B383" s="104"/>
      <c r="C383" s="125"/>
      <c r="D383" s="125"/>
      <c r="E383" s="202"/>
      <c r="F383" s="125"/>
      <c r="G383" s="125"/>
      <c r="H383" s="125"/>
      <c r="I383" s="125"/>
    </row>
    <row r="384" spans="1:9" s="27" customFormat="1" ht="18" customHeight="1">
      <c r="A384" s="73" t="s">
        <v>116</v>
      </c>
      <c r="B384" s="104" t="s">
        <v>121</v>
      </c>
      <c r="C384" s="125">
        <v>5810</v>
      </c>
      <c r="D384" s="125">
        <v>5810</v>
      </c>
      <c r="E384" s="202">
        <v>5810</v>
      </c>
      <c r="F384" s="125">
        <v>5810</v>
      </c>
      <c r="G384" s="125">
        <v>5810</v>
      </c>
      <c r="H384" s="125">
        <v>5860</v>
      </c>
      <c r="I384" s="125">
        <v>5910</v>
      </c>
    </row>
    <row r="385" spans="1:9" s="27" customFormat="1" ht="31.5" customHeight="1">
      <c r="A385" s="73" t="s">
        <v>117</v>
      </c>
      <c r="B385" s="104" t="s">
        <v>121</v>
      </c>
      <c r="C385" s="125">
        <v>4730</v>
      </c>
      <c r="D385" s="125">
        <v>4730</v>
      </c>
      <c r="E385" s="202">
        <v>4730</v>
      </c>
      <c r="F385" s="125">
        <v>4730</v>
      </c>
      <c r="G385" s="125">
        <v>4730</v>
      </c>
      <c r="H385" s="125">
        <v>4730</v>
      </c>
      <c r="I385" s="125">
        <v>4740</v>
      </c>
    </row>
    <row r="386" spans="1:9" s="27" customFormat="1" ht="59.25" customHeight="1">
      <c r="A386" s="73" t="s">
        <v>122</v>
      </c>
      <c r="B386" s="104" t="s">
        <v>121</v>
      </c>
      <c r="C386" s="125">
        <v>10</v>
      </c>
      <c r="D386" s="125">
        <v>10</v>
      </c>
      <c r="E386" s="202">
        <v>10</v>
      </c>
      <c r="F386" s="125">
        <v>10</v>
      </c>
      <c r="G386" s="125">
        <v>10</v>
      </c>
      <c r="H386" s="125">
        <v>10</v>
      </c>
      <c r="I386" s="125">
        <v>30</v>
      </c>
    </row>
    <row r="387" spans="1:9" s="27" customFormat="1" ht="33" customHeight="1">
      <c r="A387" s="73" t="s">
        <v>118</v>
      </c>
      <c r="B387" s="104" t="s">
        <v>121</v>
      </c>
      <c r="C387" s="125">
        <v>135060</v>
      </c>
      <c r="D387" s="125">
        <v>135060</v>
      </c>
      <c r="E387" s="202">
        <v>135060</v>
      </c>
      <c r="F387" s="125">
        <v>135060</v>
      </c>
      <c r="G387" s="125">
        <v>135060</v>
      </c>
      <c r="H387" s="125">
        <v>135060</v>
      </c>
      <c r="I387" s="125">
        <v>134850</v>
      </c>
    </row>
    <row r="388" spans="1:9" s="27" customFormat="1" ht="15.75" customHeight="1">
      <c r="A388" s="73" t="s">
        <v>119</v>
      </c>
      <c r="B388" s="104"/>
      <c r="C388" s="125"/>
      <c r="D388" s="125"/>
      <c r="E388" s="202"/>
      <c r="F388" s="125"/>
      <c r="G388" s="125"/>
      <c r="H388" s="125"/>
      <c r="I388" s="125"/>
    </row>
    <row r="389" spans="1:9" s="27" customFormat="1" ht="30" customHeight="1">
      <c r="A389" s="73" t="s">
        <v>120</v>
      </c>
      <c r="B389" s="104" t="s">
        <v>121</v>
      </c>
      <c r="C389" s="125">
        <v>49770</v>
      </c>
      <c r="D389" s="125">
        <v>49770</v>
      </c>
      <c r="E389" s="202">
        <v>49770</v>
      </c>
      <c r="F389" s="125">
        <v>49770</v>
      </c>
      <c r="G389" s="125">
        <v>49770</v>
      </c>
      <c r="H389" s="125">
        <v>49700</v>
      </c>
      <c r="I389" s="125">
        <v>49700</v>
      </c>
    </row>
    <row r="390" spans="1:9" s="31" customFormat="1" ht="20.25" customHeight="1">
      <c r="A390" s="223" t="s">
        <v>107</v>
      </c>
      <c r="B390" s="223"/>
      <c r="C390" s="223"/>
      <c r="D390" s="223"/>
      <c r="E390" s="223"/>
      <c r="F390" s="223"/>
      <c r="G390" s="223"/>
      <c r="H390" s="223"/>
      <c r="I390" s="223"/>
    </row>
    <row r="391" spans="1:9" s="27" customFormat="1" ht="29.25" customHeight="1">
      <c r="A391" s="73" t="s">
        <v>190</v>
      </c>
      <c r="B391" s="97" t="s">
        <v>44</v>
      </c>
      <c r="C391" s="121">
        <f>(40153+39592)/2/1000</f>
        <v>39.872500000000002</v>
      </c>
      <c r="D391" s="121">
        <v>39.299999999999997</v>
      </c>
      <c r="E391" s="203">
        <f>(39.142+38.839)/2</f>
        <v>38.990499999999997</v>
      </c>
      <c r="F391" s="121">
        <f>(38.839+38.499)/2</f>
        <v>38.668999999999997</v>
      </c>
      <c r="G391" s="121">
        <f>(38.5+38.3)/2</f>
        <v>38.4</v>
      </c>
      <c r="H391" s="121">
        <f>(38.3+38.1)/2</f>
        <v>38.200000000000003</v>
      </c>
      <c r="I391" s="121">
        <f>(38.1+37.9)/2</f>
        <v>38</v>
      </c>
    </row>
    <row r="392" spans="1:9" s="27" customFormat="1" ht="16.5" customHeight="1">
      <c r="A392" s="73" t="s">
        <v>14</v>
      </c>
      <c r="B392" s="97"/>
      <c r="C392" s="121"/>
      <c r="D392" s="121"/>
      <c r="E392" s="203"/>
      <c r="F392" s="121"/>
      <c r="G392" s="122"/>
      <c r="H392" s="122"/>
      <c r="I392" s="122"/>
    </row>
    <row r="393" spans="1:9" s="27" customFormat="1" ht="20.25" customHeight="1">
      <c r="A393" s="73" t="s">
        <v>191</v>
      </c>
      <c r="B393" s="97" t="s">
        <v>44</v>
      </c>
      <c r="C393" s="121">
        <f>(23.499+23.188)/2</f>
        <v>23.343499999999999</v>
      </c>
      <c r="D393" s="121">
        <f>(23188+23073)/2/1000</f>
        <v>23.130500000000001</v>
      </c>
      <c r="E393" s="203">
        <f>(23073+23085)/2/1000</f>
        <v>23.079000000000001</v>
      </c>
      <c r="F393" s="121">
        <f>(23.085+22.637)/2</f>
        <v>22.861000000000001</v>
      </c>
      <c r="G393" s="121">
        <v>22.6</v>
      </c>
      <c r="H393" s="121">
        <v>22.5</v>
      </c>
      <c r="I393" s="121">
        <v>22.4</v>
      </c>
    </row>
    <row r="394" spans="1:9" s="27" customFormat="1" ht="17.25" customHeight="1">
      <c r="A394" s="73" t="s">
        <v>192</v>
      </c>
      <c r="B394" s="97" t="s">
        <v>44</v>
      </c>
      <c r="C394" s="121">
        <f>(16.654+16.404)/2</f>
        <v>16.529</v>
      </c>
      <c r="D394" s="121">
        <f>(16404+16069)/2/1000</f>
        <v>16.236499999999999</v>
      </c>
      <c r="E394" s="203">
        <f>(16069+15754)/2/1000</f>
        <v>15.9115</v>
      </c>
      <c r="F394" s="121">
        <v>15.8</v>
      </c>
      <c r="G394" s="121">
        <v>15.8</v>
      </c>
      <c r="H394" s="121">
        <v>15.7</v>
      </c>
      <c r="I394" s="121">
        <v>15.6</v>
      </c>
    </row>
    <row r="395" spans="1:9" s="27" customFormat="1" ht="30" customHeight="1">
      <c r="A395" s="73" t="s">
        <v>239</v>
      </c>
      <c r="B395" s="97" t="s">
        <v>240</v>
      </c>
      <c r="C395" s="123">
        <f>17/39592*1000</f>
        <v>0.42937967266114369</v>
      </c>
      <c r="D395" s="121">
        <f>29/39142*1000</f>
        <v>0.74089213632415307</v>
      </c>
      <c r="E395" s="203">
        <f>-31/38839*1000</f>
        <v>-0.7981667911120266</v>
      </c>
      <c r="F395" s="121">
        <f>-40/38.5</f>
        <v>-1.0389610389610389</v>
      </c>
      <c r="G395" s="121">
        <v>-0.9</v>
      </c>
      <c r="H395" s="121">
        <v>-0.7</v>
      </c>
      <c r="I395" s="121">
        <v>-0.3</v>
      </c>
    </row>
    <row r="396" spans="1:9" s="22" customFormat="1" ht="21" customHeight="1">
      <c r="A396" s="223" t="s">
        <v>237</v>
      </c>
      <c r="B396" s="223"/>
      <c r="C396" s="223"/>
      <c r="D396" s="223"/>
      <c r="E396" s="223"/>
      <c r="F396" s="223"/>
      <c r="G396" s="223"/>
      <c r="H396" s="223"/>
      <c r="I396" s="223"/>
    </row>
    <row r="397" spans="1:9" s="27" customFormat="1" ht="36" customHeight="1">
      <c r="A397" s="73" t="s">
        <v>211</v>
      </c>
      <c r="B397" s="104" t="s">
        <v>45</v>
      </c>
      <c r="C397" s="124">
        <v>238</v>
      </c>
      <c r="D397" s="124">
        <v>241</v>
      </c>
      <c r="E397" s="163">
        <v>248</v>
      </c>
      <c r="F397" s="163">
        <v>248</v>
      </c>
      <c r="G397" s="163">
        <v>248</v>
      </c>
      <c r="H397" s="163">
        <v>248</v>
      </c>
      <c r="I397" s="163">
        <v>248</v>
      </c>
    </row>
    <row r="398" spans="1:9" s="27" customFormat="1" ht="28.5" customHeight="1">
      <c r="A398" s="73" t="s">
        <v>212</v>
      </c>
      <c r="B398" s="104" t="s">
        <v>45</v>
      </c>
      <c r="C398" s="124">
        <v>144</v>
      </c>
      <c r="D398" s="124">
        <v>147</v>
      </c>
      <c r="E398" s="163">
        <v>155</v>
      </c>
      <c r="F398" s="163">
        <v>155</v>
      </c>
      <c r="G398" s="163">
        <v>155</v>
      </c>
      <c r="H398" s="163">
        <v>155</v>
      </c>
      <c r="I398" s="163">
        <v>155</v>
      </c>
    </row>
    <row r="399" spans="1:9" s="32" customFormat="1" ht="35.25" customHeight="1">
      <c r="A399" s="73" t="s">
        <v>123</v>
      </c>
      <c r="B399" s="104" t="s">
        <v>109</v>
      </c>
      <c r="C399" s="123">
        <v>133123</v>
      </c>
      <c r="D399" s="123">
        <v>164507</v>
      </c>
      <c r="E399" s="164">
        <v>161528</v>
      </c>
      <c r="F399" s="164">
        <v>174693</v>
      </c>
      <c r="G399" s="164">
        <v>176862</v>
      </c>
      <c r="H399" s="164">
        <v>179020</v>
      </c>
      <c r="I399" s="164">
        <v>181009</v>
      </c>
    </row>
    <row r="400" spans="1:9" s="27" customFormat="1" ht="21" customHeight="1">
      <c r="A400" s="223" t="s">
        <v>108</v>
      </c>
      <c r="B400" s="223"/>
      <c r="C400" s="223"/>
      <c r="D400" s="223"/>
      <c r="E400" s="223"/>
      <c r="F400" s="223"/>
      <c r="G400" s="223"/>
      <c r="H400" s="223"/>
      <c r="I400" s="223"/>
    </row>
    <row r="401" spans="1:9" s="27" customFormat="1" ht="45">
      <c r="A401" s="73" t="s">
        <v>198</v>
      </c>
      <c r="B401" s="104" t="s">
        <v>138</v>
      </c>
      <c r="C401" s="124">
        <v>48</v>
      </c>
      <c r="D401" s="124">
        <v>48</v>
      </c>
      <c r="E401" s="163">
        <v>28</v>
      </c>
      <c r="F401" s="163">
        <v>28</v>
      </c>
      <c r="G401" s="124">
        <v>28</v>
      </c>
      <c r="H401" s="124">
        <v>28</v>
      </c>
      <c r="I401" s="163">
        <v>28</v>
      </c>
    </row>
    <row r="402" spans="1:9" s="27" customFormat="1" ht="30" customHeight="1">
      <c r="A402" s="73" t="s">
        <v>133</v>
      </c>
      <c r="B402" s="104" t="s">
        <v>139</v>
      </c>
      <c r="C402" s="165">
        <v>3434.73</v>
      </c>
      <c r="D402" s="166">
        <v>3434.74</v>
      </c>
      <c r="E402" s="166">
        <v>2301</v>
      </c>
      <c r="F402" s="166">
        <v>2301</v>
      </c>
      <c r="G402" s="166">
        <v>2301</v>
      </c>
      <c r="H402" s="166">
        <v>2301</v>
      </c>
      <c r="I402" s="166">
        <v>2301</v>
      </c>
    </row>
    <row r="403" spans="1:9" s="27" customFormat="1" ht="16.5" customHeight="1">
      <c r="A403" s="73" t="s">
        <v>40</v>
      </c>
      <c r="B403" s="104"/>
      <c r="C403" s="165"/>
      <c r="D403" s="166"/>
      <c r="E403" s="166"/>
      <c r="F403" s="167"/>
      <c r="G403" s="166"/>
      <c r="H403" s="166"/>
      <c r="I403" s="166"/>
    </row>
    <row r="404" spans="1:9" s="27" customFormat="1" ht="21" customHeight="1">
      <c r="A404" s="73" t="s">
        <v>134</v>
      </c>
      <c r="B404" s="104" t="s">
        <v>139</v>
      </c>
      <c r="C404" s="165">
        <v>322.28300000000002</v>
      </c>
      <c r="D404" s="166">
        <v>322.28300000000002</v>
      </c>
      <c r="E404" s="166">
        <v>197.9</v>
      </c>
      <c r="F404" s="166">
        <v>197.9</v>
      </c>
      <c r="G404" s="166">
        <v>197.9</v>
      </c>
      <c r="H404" s="166">
        <v>197.9</v>
      </c>
      <c r="I404" s="166">
        <v>197.9</v>
      </c>
    </row>
    <row r="405" spans="1:9" s="27" customFormat="1" ht="21" customHeight="1">
      <c r="A405" s="73" t="s">
        <v>135</v>
      </c>
      <c r="B405" s="104" t="s">
        <v>139</v>
      </c>
      <c r="C405" s="165">
        <v>3112.4569999999999</v>
      </c>
      <c r="D405" s="166">
        <v>3112.4569999999999</v>
      </c>
      <c r="E405" s="166">
        <v>2103.1</v>
      </c>
      <c r="F405" s="166">
        <v>2103.1</v>
      </c>
      <c r="G405" s="166">
        <v>2103.1</v>
      </c>
      <c r="H405" s="166">
        <v>2103.1</v>
      </c>
      <c r="I405" s="166">
        <v>2103.1</v>
      </c>
    </row>
    <row r="406" spans="1:9" s="27" customFormat="1" ht="21" customHeight="1">
      <c r="A406" s="73" t="s">
        <v>136</v>
      </c>
      <c r="B406" s="104" t="s">
        <v>139</v>
      </c>
      <c r="C406" s="168">
        <f>C402/39592</f>
        <v>8.6753131945847647E-2</v>
      </c>
      <c r="D406" s="169">
        <f>D402/39300</f>
        <v>8.7397964376590323E-2</v>
      </c>
      <c r="E406" s="169">
        <f>E402/39000</f>
        <v>5.8999999999999997E-2</v>
      </c>
      <c r="F406" s="169">
        <f>F402/38700</f>
        <v>5.945736434108527E-2</v>
      </c>
      <c r="G406" s="169">
        <f>G402/38400</f>
        <v>5.9921874999999999E-2</v>
      </c>
      <c r="H406" s="169">
        <f>H402/38200</f>
        <v>6.0235602094240837E-2</v>
      </c>
      <c r="I406" s="169">
        <f>I402/38000</f>
        <v>6.0552631578947372E-2</v>
      </c>
    </row>
    <row r="407" spans="1:9" s="27" customFormat="1" ht="30.75" customHeight="1">
      <c r="A407" s="73" t="s">
        <v>137</v>
      </c>
      <c r="B407" s="217" t="s">
        <v>32</v>
      </c>
      <c r="C407" s="205">
        <v>2923.1469999999999</v>
      </c>
      <c r="D407" s="206">
        <v>4787.83</v>
      </c>
      <c r="E407" s="206">
        <v>2700.2</v>
      </c>
      <c r="F407" s="206">
        <v>3351</v>
      </c>
      <c r="G407" s="206">
        <v>6700</v>
      </c>
      <c r="H407" s="206">
        <v>32400</v>
      </c>
      <c r="I407" s="207">
        <v>32400</v>
      </c>
    </row>
    <row r="408" spans="1:9" s="27" customFormat="1" ht="21" customHeight="1">
      <c r="A408" s="10"/>
      <c r="B408" s="9"/>
      <c r="C408" s="12"/>
      <c r="D408" s="12"/>
      <c r="E408" s="204"/>
      <c r="F408" s="12"/>
      <c r="G408" s="12"/>
      <c r="H408" s="12"/>
      <c r="I408" s="12"/>
    </row>
    <row r="409" spans="1:9" s="34" customFormat="1">
      <c r="A409" s="15"/>
      <c r="B409" s="8"/>
      <c r="C409" s="11"/>
      <c r="D409" s="11"/>
      <c r="E409" s="170"/>
      <c r="F409" s="11"/>
      <c r="G409" s="33"/>
      <c r="H409" s="33"/>
      <c r="I409" s="33"/>
    </row>
    <row r="410" spans="1:9">
      <c r="B410" s="8"/>
    </row>
    <row r="411" spans="1:9">
      <c r="B411" s="8"/>
    </row>
    <row r="412" spans="1:9">
      <c r="B412" s="8"/>
    </row>
    <row r="413" spans="1:9">
      <c r="B413" s="8"/>
    </row>
    <row r="414" spans="1:9">
      <c r="B414" s="8"/>
    </row>
    <row r="415" spans="1:9">
      <c r="B415" s="8"/>
    </row>
    <row r="416" spans="1:9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  <row r="644" spans="2:2">
      <c r="B644" s="8"/>
    </row>
    <row r="645" spans="2:2">
      <c r="B645" s="8"/>
    </row>
    <row r="646" spans="2:2">
      <c r="B646" s="8"/>
    </row>
    <row r="647" spans="2:2">
      <c r="B647" s="8"/>
    </row>
    <row r="648" spans="2:2">
      <c r="B648" s="8"/>
    </row>
    <row r="649" spans="2:2">
      <c r="B649" s="8"/>
    </row>
    <row r="650" spans="2:2">
      <c r="B650" s="8"/>
    </row>
    <row r="651" spans="2:2">
      <c r="B651" s="8"/>
    </row>
    <row r="652" spans="2:2">
      <c r="B652" s="8"/>
    </row>
    <row r="653" spans="2:2">
      <c r="B653" s="8"/>
    </row>
    <row r="654" spans="2:2">
      <c r="B654" s="8"/>
    </row>
    <row r="655" spans="2:2">
      <c r="B655" s="8"/>
    </row>
    <row r="656" spans="2:2">
      <c r="B656" s="8"/>
    </row>
    <row r="657" spans="2:2">
      <c r="B657" s="8"/>
    </row>
    <row r="658" spans="2:2">
      <c r="B658" s="8"/>
    </row>
    <row r="659" spans="2:2">
      <c r="B659" s="8"/>
    </row>
    <row r="660" spans="2:2">
      <c r="B660" s="8"/>
    </row>
    <row r="661" spans="2:2">
      <c r="B661" s="8"/>
    </row>
    <row r="662" spans="2:2">
      <c r="B662" s="8"/>
    </row>
    <row r="663" spans="2:2">
      <c r="B663" s="8"/>
    </row>
    <row r="664" spans="2:2">
      <c r="B664" s="8"/>
    </row>
    <row r="665" spans="2:2">
      <c r="B665" s="8"/>
    </row>
    <row r="666" spans="2:2">
      <c r="B666" s="8"/>
    </row>
    <row r="667" spans="2:2">
      <c r="B667" s="8"/>
    </row>
    <row r="668" spans="2:2">
      <c r="B668" s="8"/>
    </row>
    <row r="669" spans="2:2">
      <c r="B669" s="8"/>
    </row>
    <row r="670" spans="2:2">
      <c r="B670" s="8"/>
    </row>
    <row r="671" spans="2:2">
      <c r="B671" s="8"/>
    </row>
    <row r="672" spans="2:2">
      <c r="B672" s="8"/>
    </row>
    <row r="673" spans="2:2">
      <c r="B673" s="8"/>
    </row>
    <row r="674" spans="2:2">
      <c r="B674" s="8"/>
    </row>
    <row r="675" spans="2:2">
      <c r="B675" s="8"/>
    </row>
    <row r="676" spans="2:2">
      <c r="B676" s="8"/>
    </row>
    <row r="677" spans="2:2">
      <c r="B677" s="8"/>
    </row>
    <row r="678" spans="2:2">
      <c r="B678" s="8"/>
    </row>
    <row r="679" spans="2:2">
      <c r="B679" s="8"/>
    </row>
    <row r="680" spans="2:2">
      <c r="B680" s="8"/>
    </row>
    <row r="681" spans="2:2">
      <c r="B681" s="8"/>
    </row>
    <row r="682" spans="2:2">
      <c r="B682" s="8"/>
    </row>
    <row r="683" spans="2:2">
      <c r="B683" s="8"/>
    </row>
    <row r="684" spans="2:2">
      <c r="B684" s="8"/>
    </row>
    <row r="685" spans="2:2">
      <c r="B685" s="8"/>
    </row>
    <row r="686" spans="2:2">
      <c r="B686" s="8"/>
    </row>
    <row r="687" spans="2:2">
      <c r="B687" s="8"/>
    </row>
    <row r="688" spans="2:2">
      <c r="B688" s="8"/>
    </row>
    <row r="689" spans="2:2">
      <c r="B689" s="8"/>
    </row>
    <row r="690" spans="2:2">
      <c r="B690" s="8"/>
    </row>
    <row r="691" spans="2:2">
      <c r="B691" s="8"/>
    </row>
    <row r="692" spans="2:2">
      <c r="B692" s="8"/>
    </row>
    <row r="693" spans="2:2">
      <c r="B693" s="8"/>
    </row>
    <row r="694" spans="2:2">
      <c r="B694" s="8"/>
    </row>
    <row r="695" spans="2:2">
      <c r="B695" s="8"/>
    </row>
    <row r="696" spans="2:2">
      <c r="B696" s="8"/>
    </row>
    <row r="697" spans="2:2">
      <c r="B697" s="8"/>
    </row>
    <row r="698" spans="2:2">
      <c r="B698" s="8"/>
    </row>
    <row r="699" spans="2:2">
      <c r="B699" s="8"/>
    </row>
    <row r="700" spans="2:2">
      <c r="B700" s="8"/>
    </row>
    <row r="701" spans="2:2">
      <c r="B701" s="8"/>
    </row>
    <row r="702" spans="2:2">
      <c r="B702" s="8"/>
    </row>
    <row r="703" spans="2:2">
      <c r="B703" s="8"/>
    </row>
    <row r="704" spans="2:2">
      <c r="B704" s="8"/>
    </row>
    <row r="705" spans="2:2">
      <c r="B705" s="8"/>
    </row>
    <row r="706" spans="2:2">
      <c r="B706" s="8"/>
    </row>
    <row r="707" spans="2:2">
      <c r="B707" s="8"/>
    </row>
    <row r="708" spans="2:2">
      <c r="B708" s="8"/>
    </row>
    <row r="709" spans="2:2">
      <c r="B709" s="8"/>
    </row>
    <row r="710" spans="2:2">
      <c r="B710" s="8"/>
    </row>
    <row r="711" spans="2:2">
      <c r="B711" s="8"/>
    </row>
    <row r="712" spans="2:2">
      <c r="B712" s="8"/>
    </row>
    <row r="713" spans="2:2">
      <c r="B713" s="8"/>
    </row>
    <row r="714" spans="2:2">
      <c r="B714" s="8"/>
    </row>
    <row r="715" spans="2:2">
      <c r="B715" s="8"/>
    </row>
    <row r="716" spans="2:2">
      <c r="B716" s="8"/>
    </row>
    <row r="717" spans="2:2">
      <c r="B717" s="8"/>
    </row>
    <row r="718" spans="2:2">
      <c r="B718" s="8"/>
    </row>
    <row r="719" spans="2:2">
      <c r="B719" s="8"/>
    </row>
    <row r="720" spans="2:2">
      <c r="B720" s="8"/>
    </row>
    <row r="721" spans="2:2">
      <c r="B721" s="8"/>
    </row>
    <row r="722" spans="2:2">
      <c r="B722" s="8"/>
    </row>
    <row r="723" spans="2:2">
      <c r="B723" s="8"/>
    </row>
    <row r="724" spans="2:2">
      <c r="B724" s="8"/>
    </row>
    <row r="725" spans="2:2">
      <c r="B725" s="8"/>
    </row>
    <row r="726" spans="2:2">
      <c r="B726" s="8"/>
    </row>
    <row r="727" spans="2:2">
      <c r="B727" s="8"/>
    </row>
    <row r="728" spans="2:2">
      <c r="B728" s="8"/>
    </row>
    <row r="729" spans="2:2">
      <c r="B729" s="8"/>
    </row>
    <row r="730" spans="2:2">
      <c r="B730" s="8"/>
    </row>
    <row r="731" spans="2:2">
      <c r="B731" s="8"/>
    </row>
    <row r="732" spans="2:2">
      <c r="B732" s="8"/>
    </row>
    <row r="733" spans="2:2">
      <c r="B733" s="8"/>
    </row>
    <row r="734" spans="2:2">
      <c r="B734" s="8"/>
    </row>
    <row r="735" spans="2:2">
      <c r="B735" s="8"/>
    </row>
    <row r="736" spans="2:2">
      <c r="B736" s="8"/>
    </row>
    <row r="737" spans="2:2">
      <c r="B737" s="8"/>
    </row>
    <row r="738" spans="2:2">
      <c r="B738" s="8"/>
    </row>
    <row r="739" spans="2:2">
      <c r="B739" s="8"/>
    </row>
    <row r="740" spans="2:2">
      <c r="B740" s="8"/>
    </row>
    <row r="741" spans="2:2">
      <c r="B741" s="8"/>
    </row>
    <row r="742" spans="2:2">
      <c r="B742" s="8"/>
    </row>
    <row r="743" spans="2:2">
      <c r="B743" s="8"/>
    </row>
    <row r="744" spans="2:2">
      <c r="B744" s="8"/>
    </row>
    <row r="745" spans="2:2">
      <c r="B745" s="8"/>
    </row>
    <row r="746" spans="2:2">
      <c r="B746" s="8"/>
    </row>
    <row r="747" spans="2:2">
      <c r="B747" s="8"/>
    </row>
    <row r="748" spans="2:2">
      <c r="B748" s="8"/>
    </row>
    <row r="749" spans="2:2">
      <c r="B749" s="8"/>
    </row>
    <row r="750" spans="2:2">
      <c r="B750" s="8"/>
    </row>
    <row r="751" spans="2:2">
      <c r="B751" s="8"/>
    </row>
    <row r="752" spans="2:2">
      <c r="B752" s="8"/>
    </row>
    <row r="753" spans="2:2">
      <c r="B753" s="8"/>
    </row>
    <row r="754" spans="2:2">
      <c r="B754" s="8"/>
    </row>
    <row r="755" spans="2:2">
      <c r="B755" s="8"/>
    </row>
    <row r="756" spans="2:2">
      <c r="B756" s="8"/>
    </row>
    <row r="757" spans="2:2">
      <c r="B757" s="8"/>
    </row>
    <row r="758" spans="2:2">
      <c r="B758" s="8"/>
    </row>
    <row r="759" spans="2:2">
      <c r="B759" s="8"/>
    </row>
    <row r="760" spans="2:2">
      <c r="B760" s="8"/>
    </row>
    <row r="761" spans="2:2">
      <c r="B761" s="8"/>
    </row>
    <row r="762" spans="2:2">
      <c r="B762" s="8"/>
    </row>
    <row r="763" spans="2:2">
      <c r="B763" s="8"/>
    </row>
    <row r="764" spans="2:2">
      <c r="B764" s="8"/>
    </row>
    <row r="765" spans="2:2">
      <c r="B765" s="8"/>
    </row>
    <row r="766" spans="2:2">
      <c r="B766" s="8"/>
    </row>
    <row r="767" spans="2:2">
      <c r="B767" s="8"/>
    </row>
    <row r="768" spans="2: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  <row r="778" spans="2:2">
      <c r="B778" s="8"/>
    </row>
    <row r="779" spans="2:2">
      <c r="B779" s="8"/>
    </row>
    <row r="780" spans="2:2">
      <c r="B780" s="8"/>
    </row>
    <row r="781" spans="2:2">
      <c r="B781" s="8"/>
    </row>
    <row r="782" spans="2:2">
      <c r="B782" s="8"/>
    </row>
    <row r="783" spans="2:2">
      <c r="B783" s="8"/>
    </row>
    <row r="784" spans="2:2">
      <c r="B784" s="8"/>
    </row>
    <row r="785" spans="2:2">
      <c r="B785" s="8"/>
    </row>
    <row r="786" spans="2:2">
      <c r="B786" s="8"/>
    </row>
    <row r="787" spans="2:2">
      <c r="B787" s="8"/>
    </row>
    <row r="788" spans="2:2">
      <c r="B788" s="8"/>
    </row>
    <row r="789" spans="2:2">
      <c r="B789" s="8"/>
    </row>
    <row r="790" spans="2:2">
      <c r="B790" s="8"/>
    </row>
    <row r="791" spans="2:2">
      <c r="B791" s="8"/>
    </row>
    <row r="792" spans="2:2">
      <c r="B792" s="8"/>
    </row>
    <row r="793" spans="2:2">
      <c r="B793" s="8"/>
    </row>
    <row r="794" spans="2:2">
      <c r="B794" s="8"/>
    </row>
    <row r="795" spans="2:2">
      <c r="B795" s="8"/>
    </row>
    <row r="796" spans="2:2">
      <c r="B796" s="8"/>
    </row>
    <row r="797" spans="2:2">
      <c r="B797" s="8"/>
    </row>
    <row r="798" spans="2:2">
      <c r="B798" s="8"/>
    </row>
    <row r="799" spans="2:2">
      <c r="B799" s="8"/>
    </row>
    <row r="800" spans="2:2">
      <c r="B800" s="8"/>
    </row>
    <row r="801" spans="2:2">
      <c r="B801" s="8"/>
    </row>
    <row r="802" spans="2:2">
      <c r="B802" s="8"/>
    </row>
    <row r="803" spans="2:2">
      <c r="B803" s="8"/>
    </row>
    <row r="804" spans="2:2">
      <c r="B804" s="8"/>
    </row>
    <row r="805" spans="2:2">
      <c r="B805" s="8"/>
    </row>
    <row r="806" spans="2:2">
      <c r="B806" s="8"/>
    </row>
    <row r="807" spans="2:2">
      <c r="B807" s="8"/>
    </row>
    <row r="808" spans="2:2">
      <c r="B808" s="8"/>
    </row>
    <row r="809" spans="2:2">
      <c r="B809" s="8"/>
    </row>
    <row r="810" spans="2:2">
      <c r="B810" s="8"/>
    </row>
    <row r="811" spans="2:2">
      <c r="B811" s="8"/>
    </row>
    <row r="812" spans="2:2">
      <c r="B812" s="8"/>
    </row>
    <row r="813" spans="2:2">
      <c r="B813" s="8"/>
    </row>
    <row r="814" spans="2:2">
      <c r="B814" s="8"/>
    </row>
    <row r="815" spans="2:2">
      <c r="B815" s="8"/>
    </row>
    <row r="816" spans="2:2">
      <c r="B816" s="8"/>
    </row>
    <row r="817" spans="2:2">
      <c r="B817" s="8"/>
    </row>
    <row r="818" spans="2:2">
      <c r="B818" s="8"/>
    </row>
    <row r="819" spans="2:2">
      <c r="B819" s="8"/>
    </row>
    <row r="820" spans="2:2">
      <c r="B820" s="8"/>
    </row>
    <row r="821" spans="2:2">
      <c r="B821" s="8"/>
    </row>
    <row r="822" spans="2:2">
      <c r="B822" s="8"/>
    </row>
    <row r="823" spans="2:2">
      <c r="B823" s="8"/>
    </row>
    <row r="824" spans="2:2">
      <c r="B824" s="8"/>
    </row>
    <row r="825" spans="2:2">
      <c r="B825" s="8"/>
    </row>
    <row r="826" spans="2:2">
      <c r="B826" s="8"/>
    </row>
    <row r="827" spans="2:2">
      <c r="B827" s="8"/>
    </row>
    <row r="828" spans="2:2">
      <c r="B828" s="8"/>
    </row>
    <row r="829" spans="2:2">
      <c r="B829" s="8"/>
    </row>
    <row r="830" spans="2:2">
      <c r="B830" s="8"/>
    </row>
    <row r="831" spans="2:2">
      <c r="B831" s="8"/>
    </row>
    <row r="832" spans="2:2">
      <c r="B832" s="8"/>
    </row>
    <row r="833" spans="2:2">
      <c r="B833" s="8"/>
    </row>
    <row r="834" spans="2:2">
      <c r="B834" s="8"/>
    </row>
    <row r="835" spans="2:2">
      <c r="B835" s="8"/>
    </row>
    <row r="836" spans="2:2">
      <c r="B836" s="8"/>
    </row>
    <row r="837" spans="2:2">
      <c r="B837" s="8"/>
    </row>
    <row r="838" spans="2:2">
      <c r="B838" s="8"/>
    </row>
    <row r="839" spans="2:2">
      <c r="B839" s="8"/>
    </row>
    <row r="840" spans="2:2">
      <c r="B840" s="8"/>
    </row>
    <row r="841" spans="2:2">
      <c r="B841" s="8"/>
    </row>
    <row r="842" spans="2:2">
      <c r="B842" s="8"/>
    </row>
    <row r="843" spans="2:2">
      <c r="B843" s="8"/>
    </row>
    <row r="844" spans="2:2">
      <c r="B844" s="8"/>
    </row>
    <row r="845" spans="2:2">
      <c r="B845" s="8"/>
    </row>
    <row r="846" spans="2:2">
      <c r="B846" s="8"/>
    </row>
    <row r="847" spans="2:2">
      <c r="B847" s="8"/>
    </row>
    <row r="848" spans="2:2">
      <c r="B848" s="8"/>
    </row>
    <row r="849" spans="2:2">
      <c r="B849" s="8"/>
    </row>
    <row r="850" spans="2:2">
      <c r="B850" s="8"/>
    </row>
    <row r="851" spans="2:2">
      <c r="B851" s="8"/>
    </row>
    <row r="852" spans="2:2">
      <c r="B852" s="8"/>
    </row>
    <row r="853" spans="2:2">
      <c r="B853" s="8"/>
    </row>
    <row r="854" spans="2:2">
      <c r="B854" s="8"/>
    </row>
    <row r="855" spans="2:2">
      <c r="B855" s="8"/>
    </row>
    <row r="856" spans="2:2">
      <c r="B856" s="8"/>
    </row>
    <row r="857" spans="2:2">
      <c r="B857" s="8"/>
    </row>
    <row r="858" spans="2:2">
      <c r="B858" s="8"/>
    </row>
    <row r="859" spans="2:2">
      <c r="B859" s="8"/>
    </row>
    <row r="860" spans="2:2">
      <c r="B860" s="8"/>
    </row>
    <row r="861" spans="2:2">
      <c r="B861" s="8"/>
    </row>
    <row r="862" spans="2:2">
      <c r="B862" s="8"/>
    </row>
    <row r="863" spans="2:2">
      <c r="B863" s="8"/>
    </row>
    <row r="864" spans="2:2">
      <c r="B864" s="8"/>
    </row>
    <row r="865" spans="2:2">
      <c r="B865" s="8"/>
    </row>
    <row r="866" spans="2:2">
      <c r="B866" s="8"/>
    </row>
    <row r="867" spans="2:2">
      <c r="B867" s="8"/>
    </row>
    <row r="868" spans="2:2">
      <c r="B868" s="8"/>
    </row>
    <row r="869" spans="2:2">
      <c r="B869" s="8"/>
    </row>
    <row r="870" spans="2:2">
      <c r="B870" s="8"/>
    </row>
    <row r="871" spans="2:2">
      <c r="B871" s="8"/>
    </row>
    <row r="872" spans="2:2">
      <c r="B872" s="8"/>
    </row>
    <row r="873" spans="2:2">
      <c r="B873" s="8"/>
    </row>
    <row r="874" spans="2:2">
      <c r="B874" s="8"/>
    </row>
    <row r="875" spans="2:2">
      <c r="B875" s="8"/>
    </row>
    <row r="876" spans="2:2">
      <c r="B876" s="8"/>
    </row>
    <row r="877" spans="2:2">
      <c r="B877" s="8"/>
    </row>
    <row r="878" spans="2:2">
      <c r="B878" s="8"/>
    </row>
    <row r="879" spans="2:2">
      <c r="B879" s="8"/>
    </row>
    <row r="880" spans="2:2">
      <c r="B880" s="8"/>
    </row>
    <row r="881" spans="2:2">
      <c r="B881" s="8"/>
    </row>
    <row r="882" spans="2:2">
      <c r="B882" s="8"/>
    </row>
    <row r="883" spans="2:2">
      <c r="B883" s="8"/>
    </row>
    <row r="884" spans="2:2">
      <c r="B884" s="8"/>
    </row>
    <row r="885" spans="2:2">
      <c r="B885" s="8"/>
    </row>
    <row r="886" spans="2:2">
      <c r="B886" s="8"/>
    </row>
    <row r="887" spans="2:2">
      <c r="B887" s="8"/>
    </row>
    <row r="888" spans="2:2">
      <c r="B888" s="8"/>
    </row>
    <row r="889" spans="2:2">
      <c r="B889" s="8"/>
    </row>
    <row r="890" spans="2:2">
      <c r="B890" s="8"/>
    </row>
    <row r="891" spans="2:2">
      <c r="B891" s="8"/>
    </row>
    <row r="892" spans="2:2">
      <c r="B892" s="8"/>
    </row>
    <row r="893" spans="2:2">
      <c r="B893" s="8"/>
    </row>
    <row r="894" spans="2:2">
      <c r="B894" s="8"/>
    </row>
    <row r="895" spans="2:2">
      <c r="B895" s="8"/>
    </row>
    <row r="896" spans="2:2">
      <c r="B896" s="8"/>
    </row>
    <row r="897" spans="2:2">
      <c r="B897" s="8"/>
    </row>
    <row r="898" spans="2:2">
      <c r="B898" s="8"/>
    </row>
    <row r="899" spans="2:2">
      <c r="B899" s="8"/>
    </row>
    <row r="900" spans="2:2">
      <c r="B900" s="8"/>
    </row>
    <row r="901" spans="2:2">
      <c r="B901" s="8"/>
    </row>
    <row r="902" spans="2:2">
      <c r="B902" s="8"/>
    </row>
    <row r="903" spans="2:2">
      <c r="B903" s="8"/>
    </row>
    <row r="904" spans="2:2">
      <c r="B904" s="8"/>
    </row>
    <row r="905" spans="2:2">
      <c r="B905" s="8"/>
    </row>
    <row r="906" spans="2:2">
      <c r="B906" s="8"/>
    </row>
    <row r="907" spans="2:2">
      <c r="B907" s="8"/>
    </row>
    <row r="908" spans="2:2">
      <c r="B908" s="8"/>
    </row>
    <row r="909" spans="2:2">
      <c r="B909" s="8"/>
    </row>
    <row r="910" spans="2:2">
      <c r="B910" s="8"/>
    </row>
    <row r="911" spans="2:2">
      <c r="B911" s="8"/>
    </row>
    <row r="912" spans="2:2">
      <c r="B912" s="8"/>
    </row>
    <row r="913" spans="2:2">
      <c r="B913" s="8"/>
    </row>
    <row r="914" spans="2:2">
      <c r="B914" s="8"/>
    </row>
    <row r="915" spans="2:2">
      <c r="B915" s="8"/>
    </row>
    <row r="916" spans="2:2">
      <c r="B916" s="8"/>
    </row>
    <row r="917" spans="2:2">
      <c r="B917" s="8"/>
    </row>
    <row r="918" spans="2:2">
      <c r="B918" s="8"/>
    </row>
    <row r="919" spans="2:2">
      <c r="B919" s="8"/>
    </row>
    <row r="920" spans="2:2">
      <c r="B920" s="8"/>
    </row>
    <row r="921" spans="2:2">
      <c r="B921" s="8"/>
    </row>
    <row r="922" spans="2:2">
      <c r="B922" s="8"/>
    </row>
    <row r="923" spans="2:2">
      <c r="B923" s="8"/>
    </row>
    <row r="924" spans="2:2">
      <c r="B924" s="8"/>
    </row>
    <row r="925" spans="2:2">
      <c r="B925" s="8"/>
    </row>
    <row r="926" spans="2:2">
      <c r="B926" s="8"/>
    </row>
    <row r="927" spans="2:2">
      <c r="B927" s="8"/>
    </row>
    <row r="928" spans="2:2">
      <c r="B928" s="8"/>
    </row>
    <row r="929" spans="2:2">
      <c r="B929" s="8"/>
    </row>
    <row r="930" spans="2:2">
      <c r="B930" s="8"/>
    </row>
    <row r="931" spans="2:2">
      <c r="B931" s="8"/>
    </row>
    <row r="932" spans="2:2">
      <c r="B932" s="8"/>
    </row>
    <row r="933" spans="2:2">
      <c r="B933" s="8"/>
    </row>
    <row r="934" spans="2:2">
      <c r="B934" s="8"/>
    </row>
    <row r="935" spans="2:2">
      <c r="B935" s="8"/>
    </row>
    <row r="936" spans="2:2">
      <c r="B936" s="8"/>
    </row>
    <row r="937" spans="2:2">
      <c r="B937" s="8"/>
    </row>
    <row r="938" spans="2:2">
      <c r="B938" s="8"/>
    </row>
    <row r="939" spans="2:2">
      <c r="B939" s="8"/>
    </row>
    <row r="940" spans="2:2">
      <c r="B940" s="8"/>
    </row>
    <row r="941" spans="2:2">
      <c r="B941" s="8"/>
    </row>
    <row r="942" spans="2:2">
      <c r="B942" s="8"/>
    </row>
    <row r="943" spans="2:2">
      <c r="B943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49" spans="2:2">
      <c r="B949" s="8"/>
    </row>
    <row r="950" spans="2:2">
      <c r="B950" s="8"/>
    </row>
    <row r="951" spans="2:2">
      <c r="B951" s="8"/>
    </row>
    <row r="952" spans="2:2">
      <c r="B952" s="8"/>
    </row>
    <row r="953" spans="2:2">
      <c r="B953" s="8"/>
    </row>
    <row r="954" spans="2:2">
      <c r="B954" s="8"/>
    </row>
    <row r="955" spans="2:2">
      <c r="B955" s="8"/>
    </row>
    <row r="956" spans="2:2">
      <c r="B956" s="8"/>
    </row>
    <row r="957" spans="2:2">
      <c r="B957" s="8"/>
    </row>
    <row r="958" spans="2:2">
      <c r="B958" s="8"/>
    </row>
    <row r="959" spans="2:2">
      <c r="B959" s="8"/>
    </row>
    <row r="960" spans="2:2">
      <c r="B960" s="8"/>
    </row>
    <row r="961" spans="2:2">
      <c r="B961" s="8"/>
    </row>
    <row r="962" spans="2:2">
      <c r="B962" s="8"/>
    </row>
    <row r="963" spans="2:2">
      <c r="B963" s="8"/>
    </row>
    <row r="964" spans="2:2">
      <c r="B964" s="8"/>
    </row>
    <row r="965" spans="2:2">
      <c r="B965" s="8"/>
    </row>
    <row r="966" spans="2:2">
      <c r="B966" s="8"/>
    </row>
    <row r="967" spans="2:2">
      <c r="B967" s="8"/>
    </row>
    <row r="968" spans="2:2">
      <c r="B968" s="8"/>
    </row>
    <row r="969" spans="2:2">
      <c r="B969" s="8"/>
    </row>
    <row r="970" spans="2:2">
      <c r="B970" s="8"/>
    </row>
    <row r="971" spans="2:2">
      <c r="B971" s="8"/>
    </row>
    <row r="972" spans="2:2">
      <c r="B972" s="8"/>
    </row>
    <row r="973" spans="2:2">
      <c r="B973" s="8"/>
    </row>
    <row r="974" spans="2:2">
      <c r="B974" s="8"/>
    </row>
    <row r="975" spans="2:2">
      <c r="B975" s="8"/>
    </row>
    <row r="976" spans="2:2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  <row r="1124" spans="2:2">
      <c r="B1124" s="8"/>
    </row>
    <row r="1125" spans="2:2">
      <c r="B1125" s="8"/>
    </row>
    <row r="1126" spans="2:2">
      <c r="B1126" s="8"/>
    </row>
    <row r="1127" spans="2:2">
      <c r="B1127" s="8"/>
    </row>
    <row r="1128" spans="2:2">
      <c r="B1128" s="8"/>
    </row>
    <row r="1129" spans="2:2">
      <c r="B1129" s="8"/>
    </row>
    <row r="1130" spans="2:2">
      <c r="B1130" s="8"/>
    </row>
    <row r="1131" spans="2:2">
      <c r="B1131" s="8"/>
    </row>
    <row r="1132" spans="2:2">
      <c r="B1132" s="8"/>
    </row>
    <row r="1133" spans="2:2">
      <c r="B1133" s="8"/>
    </row>
    <row r="1134" spans="2:2">
      <c r="B1134" s="8"/>
    </row>
    <row r="1135" spans="2:2">
      <c r="B1135" s="8"/>
    </row>
    <row r="1136" spans="2:2">
      <c r="B1136" s="8"/>
    </row>
    <row r="1137" spans="2:2">
      <c r="B1137" s="8"/>
    </row>
    <row r="1138" spans="2:2">
      <c r="B1138" s="8"/>
    </row>
    <row r="1139" spans="2:2">
      <c r="B1139" s="8"/>
    </row>
    <row r="1140" spans="2:2">
      <c r="B1140" s="8"/>
    </row>
    <row r="1141" spans="2:2">
      <c r="B1141" s="8"/>
    </row>
    <row r="1142" spans="2:2">
      <c r="B1142" s="8"/>
    </row>
    <row r="1143" spans="2:2">
      <c r="B1143" s="8"/>
    </row>
    <row r="1144" spans="2:2">
      <c r="B1144" s="8"/>
    </row>
    <row r="1145" spans="2:2">
      <c r="B1145" s="8"/>
    </row>
    <row r="1146" spans="2:2">
      <c r="B1146" s="8"/>
    </row>
    <row r="1147" spans="2:2">
      <c r="B1147" s="8"/>
    </row>
    <row r="1148" spans="2:2">
      <c r="B1148" s="8"/>
    </row>
    <row r="1149" spans="2:2">
      <c r="B1149" s="8"/>
    </row>
    <row r="1150" spans="2:2">
      <c r="B1150" s="8"/>
    </row>
    <row r="1151" spans="2:2">
      <c r="B1151" s="8"/>
    </row>
    <row r="1152" spans="2:2">
      <c r="B1152" s="8"/>
    </row>
    <row r="1153" spans="2:2">
      <c r="B1153" s="8"/>
    </row>
    <row r="1154" spans="2:2">
      <c r="B1154" s="8"/>
    </row>
    <row r="1155" spans="2:2">
      <c r="B1155" s="8"/>
    </row>
    <row r="1156" spans="2:2">
      <c r="B1156" s="8"/>
    </row>
    <row r="1157" spans="2:2">
      <c r="B1157" s="8"/>
    </row>
    <row r="1158" spans="2:2">
      <c r="B1158" s="8"/>
    </row>
    <row r="1159" spans="2:2">
      <c r="B1159" s="8"/>
    </row>
    <row r="1160" spans="2:2">
      <c r="B1160" s="8"/>
    </row>
    <row r="1161" spans="2:2">
      <c r="B1161" s="8"/>
    </row>
    <row r="1162" spans="2:2">
      <c r="B1162" s="8"/>
    </row>
    <row r="1163" spans="2:2">
      <c r="B1163" s="8"/>
    </row>
    <row r="1164" spans="2:2">
      <c r="B1164" s="8"/>
    </row>
    <row r="1165" spans="2:2">
      <c r="B1165" s="8"/>
    </row>
    <row r="1166" spans="2:2">
      <c r="B1166" s="8"/>
    </row>
    <row r="1167" spans="2:2">
      <c r="B1167" s="8"/>
    </row>
    <row r="1168" spans="2:2">
      <c r="B1168" s="8"/>
    </row>
    <row r="1169" spans="2:2">
      <c r="B1169" s="8"/>
    </row>
    <row r="1170" spans="2:2">
      <c r="B1170" s="8"/>
    </row>
    <row r="1171" spans="2:2">
      <c r="B1171" s="8"/>
    </row>
    <row r="1172" spans="2:2">
      <c r="B1172" s="8"/>
    </row>
    <row r="1173" spans="2:2">
      <c r="B1173" s="8"/>
    </row>
    <row r="1174" spans="2:2">
      <c r="B1174" s="8"/>
    </row>
    <row r="1175" spans="2:2">
      <c r="B1175" s="8"/>
    </row>
    <row r="1176" spans="2:2">
      <c r="B1176" s="8"/>
    </row>
    <row r="1177" spans="2:2">
      <c r="B1177" s="8"/>
    </row>
    <row r="1178" spans="2:2">
      <c r="B1178" s="8"/>
    </row>
    <row r="1179" spans="2:2">
      <c r="B1179" s="8"/>
    </row>
    <row r="1180" spans="2:2">
      <c r="B1180" s="8"/>
    </row>
    <row r="1181" spans="2:2">
      <c r="B1181" s="8"/>
    </row>
    <row r="1182" spans="2:2">
      <c r="B1182" s="8"/>
    </row>
    <row r="1183" spans="2:2">
      <c r="B1183" s="8"/>
    </row>
    <row r="1184" spans="2:2">
      <c r="B1184" s="8"/>
    </row>
    <row r="1185" spans="2:2">
      <c r="B1185" s="8"/>
    </row>
    <row r="1186" spans="2:2">
      <c r="B1186" s="8"/>
    </row>
    <row r="1187" spans="2:2">
      <c r="B1187" s="8"/>
    </row>
    <row r="1188" spans="2:2">
      <c r="B1188" s="8"/>
    </row>
    <row r="1189" spans="2:2">
      <c r="B1189" s="8"/>
    </row>
    <row r="1190" spans="2:2">
      <c r="B1190" s="8"/>
    </row>
    <row r="1191" spans="2:2">
      <c r="B1191" s="8"/>
    </row>
    <row r="1192" spans="2:2">
      <c r="B1192" s="8"/>
    </row>
    <row r="1193" spans="2:2">
      <c r="B1193" s="8"/>
    </row>
    <row r="1194" spans="2:2">
      <c r="B1194" s="8"/>
    </row>
    <row r="1195" spans="2:2">
      <c r="B1195" s="8"/>
    </row>
    <row r="1196" spans="2:2">
      <c r="B1196" s="8"/>
    </row>
    <row r="1197" spans="2:2">
      <c r="B1197" s="8"/>
    </row>
    <row r="1198" spans="2:2">
      <c r="B1198" s="8"/>
    </row>
    <row r="1199" spans="2:2">
      <c r="B1199" s="8"/>
    </row>
    <row r="1200" spans="2:2">
      <c r="B1200" s="8"/>
    </row>
    <row r="1201" spans="2:2">
      <c r="B1201" s="8"/>
    </row>
    <row r="1202" spans="2:2">
      <c r="B1202" s="8"/>
    </row>
    <row r="1203" spans="2:2">
      <c r="B1203" s="8"/>
    </row>
    <row r="1204" spans="2:2">
      <c r="B1204" s="8"/>
    </row>
    <row r="1205" spans="2:2">
      <c r="B1205" s="8"/>
    </row>
    <row r="1206" spans="2:2">
      <c r="B1206" s="8"/>
    </row>
    <row r="1207" spans="2:2">
      <c r="B1207" s="8"/>
    </row>
    <row r="1208" spans="2:2">
      <c r="B1208" s="8"/>
    </row>
    <row r="1209" spans="2:2">
      <c r="B1209" s="8"/>
    </row>
    <row r="1210" spans="2:2">
      <c r="B1210" s="8"/>
    </row>
    <row r="1211" spans="2:2">
      <c r="B1211" s="8"/>
    </row>
    <row r="1212" spans="2:2">
      <c r="B1212" s="8"/>
    </row>
    <row r="1213" spans="2:2">
      <c r="B1213" s="8"/>
    </row>
    <row r="1214" spans="2:2">
      <c r="B1214" s="8"/>
    </row>
    <row r="1215" spans="2:2">
      <c r="B1215" s="8"/>
    </row>
    <row r="1216" spans="2:2">
      <c r="B1216" s="8"/>
    </row>
    <row r="1217" spans="2:2">
      <c r="B1217" s="8"/>
    </row>
    <row r="1218" spans="2:2">
      <c r="B1218" s="8"/>
    </row>
    <row r="1219" spans="2:2">
      <c r="B1219" s="8"/>
    </row>
    <row r="1220" spans="2:2">
      <c r="B1220" s="8"/>
    </row>
    <row r="1221" spans="2:2">
      <c r="B1221" s="8"/>
    </row>
    <row r="1222" spans="2:2">
      <c r="B1222" s="8"/>
    </row>
    <row r="1223" spans="2:2">
      <c r="B1223" s="8"/>
    </row>
    <row r="1224" spans="2:2">
      <c r="B1224" s="8"/>
    </row>
    <row r="1225" spans="2:2">
      <c r="B1225" s="8"/>
    </row>
    <row r="1226" spans="2:2">
      <c r="B1226" s="8"/>
    </row>
    <row r="1227" spans="2:2">
      <c r="B1227" s="8"/>
    </row>
    <row r="1228" spans="2:2">
      <c r="B1228" s="8"/>
    </row>
    <row r="1229" spans="2:2">
      <c r="B1229" s="8"/>
    </row>
    <row r="1230" spans="2:2">
      <c r="B1230" s="8"/>
    </row>
    <row r="1231" spans="2:2">
      <c r="B1231" s="8"/>
    </row>
    <row r="1232" spans="2:2">
      <c r="B1232" s="8"/>
    </row>
    <row r="1233" spans="2:2">
      <c r="B1233" s="8"/>
    </row>
    <row r="1234" spans="2:2">
      <c r="B1234" s="8"/>
    </row>
    <row r="1235" spans="2:2">
      <c r="B1235" s="8"/>
    </row>
    <row r="1236" spans="2:2">
      <c r="B1236" s="8"/>
    </row>
    <row r="1237" spans="2:2">
      <c r="B1237" s="8"/>
    </row>
    <row r="1238" spans="2:2">
      <c r="B1238" s="8"/>
    </row>
    <row r="1239" spans="2:2">
      <c r="B1239" s="8"/>
    </row>
    <row r="1240" spans="2:2">
      <c r="B1240" s="8"/>
    </row>
    <row r="1241" spans="2:2">
      <c r="B1241" s="8"/>
    </row>
    <row r="1242" spans="2:2">
      <c r="B1242" s="8"/>
    </row>
    <row r="1243" spans="2:2">
      <c r="B1243" s="8"/>
    </row>
    <row r="1244" spans="2:2">
      <c r="B1244" s="8"/>
    </row>
    <row r="1245" spans="2:2">
      <c r="B1245" s="8"/>
    </row>
    <row r="1246" spans="2:2">
      <c r="B1246" s="8"/>
    </row>
    <row r="1247" spans="2:2">
      <c r="B1247" s="8"/>
    </row>
    <row r="1248" spans="2:2">
      <c r="B1248" s="8"/>
    </row>
    <row r="1249" spans="2:2">
      <c r="B1249" s="8"/>
    </row>
    <row r="1250" spans="2:2">
      <c r="B1250" s="8"/>
    </row>
    <row r="1251" spans="2:2">
      <c r="B1251" s="8"/>
    </row>
    <row r="1252" spans="2:2">
      <c r="B1252" s="8"/>
    </row>
    <row r="1253" spans="2:2">
      <c r="B1253" s="8"/>
    </row>
    <row r="1254" spans="2:2">
      <c r="B1254" s="8"/>
    </row>
    <row r="1255" spans="2:2">
      <c r="B1255" s="8"/>
    </row>
    <row r="1256" spans="2:2">
      <c r="B1256" s="8"/>
    </row>
    <row r="1257" spans="2:2">
      <c r="B1257" s="8"/>
    </row>
    <row r="1258" spans="2:2">
      <c r="B1258" s="8"/>
    </row>
    <row r="1259" spans="2:2">
      <c r="B1259" s="8"/>
    </row>
    <row r="1260" spans="2:2">
      <c r="B1260" s="8"/>
    </row>
    <row r="1261" spans="2:2">
      <c r="B1261" s="8"/>
    </row>
    <row r="1262" spans="2:2">
      <c r="B1262" s="8"/>
    </row>
    <row r="1263" spans="2:2">
      <c r="B1263" s="8"/>
    </row>
    <row r="1264" spans="2:2">
      <c r="B1264" s="8"/>
    </row>
    <row r="1265" spans="2:2">
      <c r="B1265" s="8"/>
    </row>
    <row r="1266" spans="2:2">
      <c r="B1266" s="8"/>
    </row>
    <row r="1267" spans="2:2">
      <c r="B1267" s="8"/>
    </row>
    <row r="1268" spans="2:2">
      <c r="B1268" s="8"/>
    </row>
    <row r="1269" spans="2:2">
      <c r="B1269" s="8"/>
    </row>
    <row r="1270" spans="2:2">
      <c r="B1270" s="8"/>
    </row>
    <row r="1271" spans="2:2">
      <c r="B1271" s="8"/>
    </row>
    <row r="1272" spans="2:2">
      <c r="B1272" s="8"/>
    </row>
    <row r="1273" spans="2:2">
      <c r="B1273" s="8"/>
    </row>
    <row r="1274" spans="2:2">
      <c r="B1274" s="8"/>
    </row>
    <row r="1275" spans="2:2">
      <c r="B1275" s="8"/>
    </row>
    <row r="1276" spans="2:2">
      <c r="B1276" s="8"/>
    </row>
    <row r="1277" spans="2:2">
      <c r="B1277" s="8"/>
    </row>
    <row r="1278" spans="2:2">
      <c r="B1278" s="8"/>
    </row>
    <row r="1279" spans="2:2">
      <c r="B1279" s="8"/>
    </row>
    <row r="1280" spans="2:2">
      <c r="B1280" s="8"/>
    </row>
    <row r="1281" spans="2:2">
      <c r="B1281" s="8"/>
    </row>
    <row r="1282" spans="2:2">
      <c r="B1282" s="8"/>
    </row>
    <row r="1283" spans="2:2">
      <c r="B1283" s="8"/>
    </row>
    <row r="1284" spans="2:2">
      <c r="B1284" s="8"/>
    </row>
    <row r="1285" spans="2:2">
      <c r="B1285" s="8"/>
    </row>
    <row r="1286" spans="2:2">
      <c r="B1286" s="8"/>
    </row>
  </sheetData>
  <mergeCells count="49">
    <mergeCell ref="A396:I396"/>
    <mergeCell ref="A400:I400"/>
    <mergeCell ref="A325:I325"/>
    <mergeCell ref="A345:I345"/>
    <mergeCell ref="A355:I355"/>
    <mergeCell ref="A369:I369"/>
    <mergeCell ref="A371:I371"/>
    <mergeCell ref="A390:I390"/>
    <mergeCell ref="A5:I5"/>
    <mergeCell ref="A113:I113"/>
    <mergeCell ref="F3:F4"/>
    <mergeCell ref="A196:I196"/>
    <mergeCell ref="G3:I3"/>
    <mergeCell ref="A135:A136"/>
    <mergeCell ref="A185:A186"/>
    <mergeCell ref="A181:A182"/>
    <mergeCell ref="A183:A184"/>
    <mergeCell ref="A178:A179"/>
    <mergeCell ref="A160:A161"/>
    <mergeCell ref="A163:A164"/>
    <mergeCell ref="A165:A166"/>
    <mergeCell ref="A167:A168"/>
    <mergeCell ref="A96:B96"/>
    <mergeCell ref="D3:D4"/>
    <mergeCell ref="A3:A4"/>
    <mergeCell ref="B3:B4"/>
    <mergeCell ref="C3:C4"/>
    <mergeCell ref="A1:I1"/>
    <mergeCell ref="E3:E4"/>
    <mergeCell ref="A138:A139"/>
    <mergeCell ref="A140:A141"/>
    <mergeCell ref="A145:A146"/>
    <mergeCell ref="A147:A148"/>
    <mergeCell ref="A149:A150"/>
    <mergeCell ref="A176:A177"/>
    <mergeCell ref="B328:B330"/>
    <mergeCell ref="B332:B333"/>
    <mergeCell ref="A154:A155"/>
    <mergeCell ref="A156:A157"/>
    <mergeCell ref="A158:A159"/>
    <mergeCell ref="A172:A173"/>
    <mergeCell ref="A174:A175"/>
    <mergeCell ref="A300:I300"/>
    <mergeCell ref="A318:I318"/>
    <mergeCell ref="A321:I321"/>
    <mergeCell ref="A210:B210"/>
    <mergeCell ref="A247:I247"/>
    <mergeCell ref="A207:B207"/>
    <mergeCell ref="A287:B287"/>
  </mergeCells>
  <phoneticPr fontId="0" type="noConversion"/>
  <pageMargins left="0.78740157480314965" right="0.23622047244094491" top="0.74803149606299213" bottom="0.59055118110236227" header="0.51181102362204722" footer="0.15748031496062992"/>
  <pageSetup paperSize="9" scale="87" fitToHeight="10" orientation="portrait" r:id="rId1"/>
  <headerFooter differentFirst="1" alignWithMargins="0">
    <oddHeader>&amp;C&amp;P</oddHeader>
  </headerFooter>
  <rowBreaks count="10" manualBreakCount="10">
    <brk id="40" max="8" man="1"/>
    <brk id="108" max="8" man="1"/>
    <brk id="146" max="8" man="1"/>
    <brk id="189" max="8" man="1"/>
    <brk id="224" max="8" man="1"/>
    <brk id="257" max="8" man="1"/>
    <brk id="301" max="8" man="1"/>
    <brk id="327" max="8" man="1"/>
    <brk id="356" max="8" man="1"/>
    <brk id="38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 Томской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Федоровская</dc:creator>
  <cp:lastModifiedBy>Отдел экономики 3</cp:lastModifiedBy>
  <cp:lastPrinted>2015-09-29T10:01:42Z</cp:lastPrinted>
  <dcterms:created xsi:type="dcterms:W3CDTF">2003-05-23T03:32:28Z</dcterms:created>
  <dcterms:modified xsi:type="dcterms:W3CDTF">2015-09-29T10:01:54Z</dcterms:modified>
</cp:coreProperties>
</file>