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25" yWindow="30" windowWidth="16260" windowHeight="10155"/>
  </bookViews>
  <sheets>
    <sheet name="frmRRO4" sheetId="1" r:id="rId1"/>
    <sheet name="план 2021 (план, факт)" sheetId="6" r:id="rId2"/>
    <sheet name="план 2023" sheetId="7" r:id="rId3"/>
    <sheet name="Лист2" sheetId="3" r:id="rId4"/>
    <sheet name="Программы Томские" sheetId="8" r:id="rId5"/>
  </sheets>
  <definedNames>
    <definedName name="_xlnm.Print_Titles" localSheetId="0">frmRRO4!$2:$5</definedName>
    <definedName name="_xlnm.Print_Titles" localSheetId="2">'план 2023'!$A:$A</definedName>
  </definedNames>
  <calcPr calcId="125725"/>
  <fileRecoveryPr autoRecover="0"/>
</workbook>
</file>

<file path=xl/calcChain.xml><?xml version="1.0" encoding="utf-8"?>
<calcChain xmlns="http://schemas.openxmlformats.org/spreadsheetml/2006/main">
  <c r="P436" i="1"/>
  <c r="P247"/>
  <c r="P238"/>
  <c r="P194"/>
  <c r="P162"/>
  <c r="P148"/>
  <c r="P125"/>
  <c r="P132"/>
  <c r="P115"/>
  <c r="P87"/>
  <c r="P76"/>
  <c r="P46"/>
  <c r="P35"/>
  <c r="P21"/>
  <c r="P18"/>
  <c r="O194"/>
  <c r="N194"/>
  <c r="P517"/>
  <c r="P45" l="1"/>
  <c r="P304"/>
  <c r="P296"/>
  <c r="P288"/>
  <c r="Q277"/>
  <c r="R247"/>
  <c r="Q247"/>
  <c r="P216"/>
  <c r="R162"/>
  <c r="Q162"/>
  <c r="R76"/>
  <c r="R45" s="1"/>
  <c r="Q503"/>
  <c r="R503"/>
  <c r="P503"/>
  <c r="Q491"/>
  <c r="R491"/>
  <c r="P491"/>
  <c r="O378"/>
  <c r="Q378"/>
  <c r="R378"/>
  <c r="P378"/>
  <c r="O371"/>
  <c r="P371"/>
  <c r="Q371"/>
  <c r="R371"/>
  <c r="N371"/>
  <c r="Q17"/>
  <c r="R17"/>
  <c r="P17"/>
  <c r="EL35" i="7"/>
  <c r="EK35"/>
  <c r="EJ35"/>
  <c r="AH32"/>
  <c r="AG32"/>
  <c r="AF32"/>
  <c r="AE29"/>
  <c r="AD29"/>
  <c r="AC29"/>
  <c r="EV29" s="1"/>
  <c r="V27"/>
  <c r="U27"/>
  <c r="T27"/>
  <c r="EV27" s="1"/>
  <c r="EV5"/>
  <c r="EW5"/>
  <c r="EX5"/>
  <c r="EV6"/>
  <c r="EW6"/>
  <c r="EX6"/>
  <c r="EV7"/>
  <c r="EW7"/>
  <c r="EX7"/>
  <c r="EV8"/>
  <c r="EW8"/>
  <c r="EX8"/>
  <c r="EV9"/>
  <c r="EW9"/>
  <c r="EX9"/>
  <c r="EV10"/>
  <c r="EW10"/>
  <c r="EX10"/>
  <c r="EV11"/>
  <c r="EW11"/>
  <c r="EX11"/>
  <c r="EV12"/>
  <c r="EW12"/>
  <c r="EX12"/>
  <c r="EV13"/>
  <c r="EW13"/>
  <c r="EX13"/>
  <c r="EV14"/>
  <c r="EW14"/>
  <c r="EX14"/>
  <c r="EV15"/>
  <c r="EW15"/>
  <c r="EX15"/>
  <c r="EV16"/>
  <c r="EW16"/>
  <c r="EX16"/>
  <c r="EV17"/>
  <c r="EW17"/>
  <c r="EX17"/>
  <c r="EV18"/>
  <c r="EW18"/>
  <c r="EX18"/>
  <c r="EV19"/>
  <c r="EW19"/>
  <c r="EX19"/>
  <c r="EV20"/>
  <c r="EW20"/>
  <c r="EX20"/>
  <c r="EV21"/>
  <c r="EW21"/>
  <c r="EX21"/>
  <c r="EV22"/>
  <c r="EW22"/>
  <c r="EX22"/>
  <c r="EV23"/>
  <c r="EW23"/>
  <c r="EX23"/>
  <c r="EV24"/>
  <c r="EW24"/>
  <c r="EX24"/>
  <c r="EV25"/>
  <c r="EW25"/>
  <c r="EX25"/>
  <c r="EV26"/>
  <c r="EW26"/>
  <c r="EX26"/>
  <c r="EW27"/>
  <c r="EX27"/>
  <c r="EV28"/>
  <c r="EW28"/>
  <c r="EX28"/>
  <c r="EW29"/>
  <c r="EX29"/>
  <c r="EV30"/>
  <c r="EW30"/>
  <c r="EX30"/>
  <c r="EV31"/>
  <c r="EW31"/>
  <c r="EX31"/>
  <c r="EV32"/>
  <c r="EW32"/>
  <c r="EX32"/>
  <c r="EV33"/>
  <c r="EW33"/>
  <c r="EX33"/>
  <c r="EV34"/>
  <c r="EW34"/>
  <c r="EX34"/>
  <c r="EV35"/>
  <c r="EW35"/>
  <c r="EX35"/>
  <c r="EV36"/>
  <c r="EW36"/>
  <c r="EX36"/>
  <c r="EV37"/>
  <c r="EW37"/>
  <c r="EX37"/>
  <c r="EV38"/>
  <c r="EW38"/>
  <c r="EX38"/>
  <c r="EV39"/>
  <c r="EW39"/>
  <c r="EX39"/>
  <c r="EV40"/>
  <c r="EW40"/>
  <c r="EX40"/>
  <c r="EV41"/>
  <c r="EW41"/>
  <c r="EX41"/>
  <c r="EV42"/>
  <c r="EW42"/>
  <c r="EX42"/>
  <c r="EV43"/>
  <c r="EW43"/>
  <c r="EX43"/>
  <c r="EW4"/>
  <c r="EX4"/>
  <c r="EV4"/>
  <c r="DQ44"/>
  <c r="DP44"/>
  <c r="DO44"/>
  <c r="CB25"/>
  <c r="AM25"/>
  <c r="AL25"/>
  <c r="AQ44"/>
  <c r="AP44"/>
  <c r="AO44"/>
  <c r="N19"/>
  <c r="M19"/>
  <c r="L19"/>
  <c r="K19"/>
  <c r="DG11"/>
  <c r="EC44"/>
  <c r="EB44"/>
  <c r="EA44"/>
  <c r="EF11"/>
  <c r="EE11"/>
  <c r="ED11"/>
  <c r="DT11"/>
  <c r="DS11"/>
  <c r="DR11"/>
  <c r="DH11"/>
  <c r="DF11"/>
  <c r="AT11"/>
  <c r="AS11"/>
  <c r="AR11"/>
  <c r="B11"/>
  <c r="CU8"/>
  <c r="CY8"/>
  <c r="CX8"/>
  <c r="CW8"/>
  <c r="CV8"/>
  <c r="CT8"/>
  <c r="CT6"/>
  <c r="P33" i="1"/>
  <c r="O151"/>
  <c r="P151"/>
  <c r="Q151"/>
  <c r="R151"/>
  <c r="N151"/>
  <c r="P287" l="1"/>
  <c r="P268"/>
  <c r="P156"/>
  <c r="Q76"/>
  <c r="Q45" s="1"/>
  <c r="P20" l="1"/>
  <c r="R14"/>
  <c r="R13" s="1"/>
  <c r="Q14"/>
  <c r="Q13" s="1"/>
  <c r="P14"/>
  <c r="P13" s="1"/>
  <c r="P10"/>
  <c r="P9" s="1"/>
  <c r="O379"/>
  <c r="P379"/>
  <c r="Q379"/>
  <c r="R379"/>
  <c r="N379"/>
  <c r="O362"/>
  <c r="P362"/>
  <c r="Q362"/>
  <c r="R362"/>
  <c r="N362"/>
  <c r="N436"/>
  <c r="O428"/>
  <c r="P428"/>
  <c r="Q428"/>
  <c r="R428"/>
  <c r="O359"/>
  <c r="P359"/>
  <c r="Q359"/>
  <c r="R359"/>
  <c r="O347"/>
  <c r="P347"/>
  <c r="P346" s="1"/>
  <c r="Q347"/>
  <c r="Q346" s="1"/>
  <c r="R347"/>
  <c r="R346" s="1"/>
  <c r="O346"/>
  <c r="O340"/>
  <c r="O339" s="1"/>
  <c r="P340"/>
  <c r="P339" s="1"/>
  <c r="Q340"/>
  <c r="Q339" s="1"/>
  <c r="R340"/>
  <c r="R339" s="1"/>
  <c r="O333"/>
  <c r="P333"/>
  <c r="Q333"/>
  <c r="R333"/>
  <c r="O326"/>
  <c r="P326"/>
  <c r="Q326"/>
  <c r="R326"/>
  <c r="O315"/>
  <c r="R274"/>
  <c r="Q267"/>
  <c r="R267"/>
  <c r="Q245"/>
  <c r="R245"/>
  <c r="P235"/>
  <c r="Q235"/>
  <c r="R235"/>
  <c r="O231"/>
  <c r="P231"/>
  <c r="Q231"/>
  <c r="R231"/>
  <c r="O229"/>
  <c r="P229"/>
  <c r="Q229"/>
  <c r="R229"/>
  <c r="P214"/>
  <c r="Q214"/>
  <c r="R214"/>
  <c r="O215"/>
  <c r="P215"/>
  <c r="Q215"/>
  <c r="R215"/>
  <c r="O205"/>
  <c r="O203" s="1"/>
  <c r="P205"/>
  <c r="P203" s="1"/>
  <c r="Q205"/>
  <c r="Q203" s="1"/>
  <c r="R205"/>
  <c r="R203" s="1"/>
  <c r="P193"/>
  <c r="Q193"/>
  <c r="R193"/>
  <c r="O187"/>
  <c r="P187"/>
  <c r="Q187"/>
  <c r="R187"/>
  <c r="O185"/>
  <c r="P185"/>
  <c r="Q185"/>
  <c r="R185"/>
  <c r="O147"/>
  <c r="P147"/>
  <c r="Q147"/>
  <c r="R147"/>
  <c r="O140"/>
  <c r="P140"/>
  <c r="Q140"/>
  <c r="R140"/>
  <c r="P124"/>
  <c r="Q124"/>
  <c r="R124"/>
  <c r="Q86"/>
  <c r="R86"/>
  <c r="Q33"/>
  <c r="R33"/>
  <c r="O34"/>
  <c r="P34"/>
  <c r="Q34"/>
  <c r="R34"/>
  <c r="O25"/>
  <c r="P25"/>
  <c r="Q25"/>
  <c r="R25"/>
  <c r="O20"/>
  <c r="Q20"/>
  <c r="R20"/>
  <c r="O17"/>
  <c r="O13"/>
  <c r="Q9"/>
  <c r="R9"/>
  <c r="O517"/>
  <c r="O503"/>
  <c r="O491"/>
  <c r="O442"/>
  <c r="P442"/>
  <c r="Q442"/>
  <c r="R442"/>
  <c r="O436"/>
  <c r="P245"/>
  <c r="Q274"/>
  <c r="P277"/>
  <c r="P274" s="1"/>
  <c r="R161"/>
  <c r="Q161"/>
  <c r="P161"/>
  <c r="P86"/>
  <c r="R156"/>
  <c r="R154" s="1"/>
  <c r="Q156"/>
  <c r="Q154" s="1"/>
  <c r="P154"/>
  <c r="R318"/>
  <c r="R315" s="1"/>
  <c r="Q318"/>
  <c r="Q315" s="1"/>
  <c r="P318"/>
  <c r="P315" s="1"/>
  <c r="R304"/>
  <c r="R302" s="1"/>
  <c r="Q304"/>
  <c r="Q302" s="1"/>
  <c r="P302"/>
  <c r="R296"/>
  <c r="R292" s="1"/>
  <c r="Q296"/>
  <c r="Q292" s="1"/>
  <c r="P292"/>
  <c r="R288"/>
  <c r="R283" s="1"/>
  <c r="Q288"/>
  <c r="Q283" s="1"/>
  <c r="O304"/>
  <c r="O302" s="1"/>
  <c r="O296"/>
  <c r="O292" s="1"/>
  <c r="O290"/>
  <c r="O288"/>
  <c r="O287"/>
  <c r="O277"/>
  <c r="O274" s="1"/>
  <c r="P212" l="1"/>
  <c r="R212"/>
  <c r="P338"/>
  <c r="Q338"/>
  <c r="O338"/>
  <c r="R338"/>
  <c r="O283"/>
  <c r="O282" s="1"/>
  <c r="P283"/>
  <c r="P31"/>
  <c r="Q31"/>
  <c r="R31"/>
  <c r="Q212"/>
  <c r="O247"/>
  <c r="O245" s="1"/>
  <c r="O241"/>
  <c r="O238"/>
  <c r="O216"/>
  <c r="O214" s="1"/>
  <c r="O212" s="1"/>
  <c r="O193"/>
  <c r="O162"/>
  <c r="O161" s="1"/>
  <c r="O156"/>
  <c r="O154" s="1"/>
  <c r="O132"/>
  <c r="O125"/>
  <c r="O115"/>
  <c r="O87"/>
  <c r="O76"/>
  <c r="O46"/>
  <c r="O35"/>
  <c r="O33" s="1"/>
  <c r="O31" s="1"/>
  <c r="O10"/>
  <c r="O9" s="1"/>
  <c r="O484"/>
  <c r="P484"/>
  <c r="Q484"/>
  <c r="R484"/>
  <c r="O469"/>
  <c r="P469"/>
  <c r="Q469"/>
  <c r="R469"/>
  <c r="O440"/>
  <c r="P440"/>
  <c r="Q440"/>
  <c r="R440"/>
  <c r="N517"/>
  <c r="N503"/>
  <c r="N491"/>
  <c r="N442"/>
  <c r="N415"/>
  <c r="N378" s="1"/>
  <c r="N304"/>
  <c r="N296"/>
  <c r="N290"/>
  <c r="N288"/>
  <c r="N287"/>
  <c r="N277"/>
  <c r="N268"/>
  <c r="N247"/>
  <c r="N241"/>
  <c r="N238"/>
  <c r="N216"/>
  <c r="N207"/>
  <c r="N162"/>
  <c r="N156"/>
  <c r="N132"/>
  <c r="N125"/>
  <c r="N115"/>
  <c r="N87"/>
  <c r="N76"/>
  <c r="N46"/>
  <c r="N35"/>
  <c r="N18"/>
  <c r="N10"/>
  <c r="O45" l="1"/>
  <c r="N45"/>
  <c r="O86"/>
  <c r="O235"/>
  <c r="O124"/>
  <c r="N214"/>
  <c r="CG44" i="7"/>
  <c r="CF44"/>
  <c r="CE44"/>
  <c r="Q517" i="1" l="1"/>
  <c r="R517"/>
  <c r="N440" l="1"/>
  <c r="P514" l="1"/>
  <c r="Q514"/>
  <c r="R514"/>
  <c r="N25"/>
  <c r="O374" l="1"/>
  <c r="P374"/>
  <c r="Q374"/>
  <c r="R374"/>
  <c r="N374"/>
  <c r="O377"/>
  <c r="P377"/>
  <c r="Q377"/>
  <c r="R377"/>
  <c r="N377"/>
  <c r="B44" i="7"/>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H44"/>
  <c r="CI44"/>
  <c r="CJ44"/>
  <c r="CK44"/>
  <c r="CL44"/>
  <c r="CM44"/>
  <c r="CN44"/>
  <c r="CO44"/>
  <c r="CP44"/>
  <c r="CQ44"/>
  <c r="CR44"/>
  <c r="CS44"/>
  <c r="CT44"/>
  <c r="CU44"/>
  <c r="CV44"/>
  <c r="CW44"/>
  <c r="CX44"/>
  <c r="CY44"/>
  <c r="CZ44"/>
  <c r="DA44"/>
  <c r="DB44"/>
  <c r="DC44"/>
  <c r="DD44"/>
  <c r="DE44"/>
  <c r="DF44"/>
  <c r="DG44"/>
  <c r="DH44"/>
  <c r="DI44"/>
  <c r="DJ44"/>
  <c r="DK44"/>
  <c r="DL44"/>
  <c r="DM44"/>
  <c r="DN44"/>
  <c r="DR44"/>
  <c r="DS44"/>
  <c r="DT44"/>
  <c r="DU44"/>
  <c r="DV44"/>
  <c r="DW44"/>
  <c r="DX44"/>
  <c r="DY44"/>
  <c r="DZ44"/>
  <c r="ED44"/>
  <c r="EE44"/>
  <c r="EF44"/>
  <c r="EG44"/>
  <c r="EH44"/>
  <c r="EI44"/>
  <c r="EJ44"/>
  <c r="EK44"/>
  <c r="EL44"/>
  <c r="EM44"/>
  <c r="EN44"/>
  <c r="EO44"/>
  <c r="EP44"/>
  <c r="EQ44"/>
  <c r="EP45" l="1"/>
  <c r="ED45"/>
  <c r="EW44"/>
  <c r="P475" i="1" l="1"/>
  <c r="P433" l="1"/>
  <c r="P375"/>
  <c r="P394"/>
  <c r="O267"/>
  <c r="P267"/>
  <c r="N267"/>
  <c r="N359"/>
  <c r="O555"/>
  <c r="O546"/>
  <c r="O514"/>
  <c r="O501"/>
  <c r="O497"/>
  <c r="O487"/>
  <c r="O480"/>
  <c r="P480"/>
  <c r="Q480"/>
  <c r="R480"/>
  <c r="O475"/>
  <c r="Q475"/>
  <c r="R475"/>
  <c r="O433"/>
  <c r="Q433"/>
  <c r="R433"/>
  <c r="O422"/>
  <c r="P422"/>
  <c r="Q422"/>
  <c r="R422"/>
  <c r="O375"/>
  <c r="O394"/>
  <c r="Q394"/>
  <c r="R394"/>
  <c r="O380"/>
  <c r="P380"/>
  <c r="Q380"/>
  <c r="R380"/>
  <c r="O370"/>
  <c r="P370"/>
  <c r="Q370"/>
  <c r="R370"/>
  <c r="O372"/>
  <c r="P372"/>
  <c r="Q372"/>
  <c r="R372"/>
  <c r="O373"/>
  <c r="Q375"/>
  <c r="R375"/>
  <c r="O376"/>
  <c r="P376"/>
  <c r="Q376"/>
  <c r="R376"/>
  <c r="CG10" i="6"/>
  <c r="FJ4"/>
  <c r="FK4"/>
  <c r="FJ5"/>
  <c r="FK5"/>
  <c r="FJ6"/>
  <c r="FK6"/>
  <c r="FJ7"/>
  <c r="FK7"/>
  <c r="FJ8"/>
  <c r="FK8"/>
  <c r="FJ9"/>
  <c r="FK9"/>
  <c r="FJ10"/>
  <c r="FK10"/>
  <c r="FJ11"/>
  <c r="FK11"/>
  <c r="FJ12"/>
  <c r="FK12"/>
  <c r="FJ13"/>
  <c r="FK13"/>
  <c r="FJ14"/>
  <c r="FK14"/>
  <c r="FJ15"/>
  <c r="FK15"/>
  <c r="FJ16"/>
  <c r="FK16"/>
  <c r="FJ17"/>
  <c r="FK17"/>
  <c r="FJ18"/>
  <c r="FK18"/>
  <c r="FJ19"/>
  <c r="FK19"/>
  <c r="FJ20"/>
  <c r="FK20"/>
  <c r="FJ21"/>
  <c r="FK21"/>
  <c r="FJ22"/>
  <c r="FK22"/>
  <c r="FJ23"/>
  <c r="FK23"/>
  <c r="FJ24"/>
  <c r="FK24"/>
  <c r="FJ25"/>
  <c r="FK25"/>
  <c r="FJ26"/>
  <c r="FK26"/>
  <c r="FJ27"/>
  <c r="FK27"/>
  <c r="FJ28"/>
  <c r="FK28"/>
  <c r="FJ29"/>
  <c r="FK29"/>
  <c r="FJ30"/>
  <c r="FK30"/>
  <c r="FJ31"/>
  <c r="FK31"/>
  <c r="FJ32"/>
  <c r="FK32"/>
  <c r="FJ33"/>
  <c r="FK33"/>
  <c r="FJ34"/>
  <c r="FK34"/>
  <c r="FJ35"/>
  <c r="FK35"/>
  <c r="FJ36"/>
  <c r="FK36"/>
  <c r="FJ37"/>
  <c r="FK37"/>
  <c r="FJ38"/>
  <c r="FK38"/>
  <c r="FJ39"/>
  <c r="FK39"/>
  <c r="FJ40"/>
  <c r="FK40"/>
  <c r="FJ41"/>
  <c r="FK41"/>
  <c r="O439" i="1" l="1"/>
  <c r="O438" s="1"/>
  <c r="O427" s="1"/>
  <c r="Q373"/>
  <c r="Q368" s="1"/>
  <c r="R373"/>
  <c r="R368" s="1"/>
  <c r="P373"/>
  <c r="P368" s="1"/>
  <c r="O368"/>
  <c r="Y30" i="6"/>
  <c r="X30"/>
  <c r="FK3"/>
  <c r="FJ3"/>
  <c r="AY34"/>
  <c r="AX34"/>
  <c r="AY33"/>
  <c r="AX33"/>
  <c r="CJ33"/>
  <c r="CK33"/>
  <c r="BM30"/>
  <c r="BL30"/>
  <c r="U27"/>
  <c r="T27"/>
  <c r="CC42"/>
  <c r="CB42"/>
  <c r="O25"/>
  <c r="N25"/>
  <c r="BA42"/>
  <c r="AZ42"/>
  <c r="AW42"/>
  <c r="AV42"/>
  <c r="AO10"/>
  <c r="AO42" s="1"/>
  <c r="AN10"/>
  <c r="AN42" s="1"/>
  <c r="CF10"/>
  <c r="AC10"/>
  <c r="AB10"/>
  <c r="CA10"/>
  <c r="BZ10"/>
  <c r="C10"/>
  <c r="B10"/>
  <c r="BU10"/>
  <c r="BT10"/>
  <c r="CG42"/>
  <c r="CF42"/>
  <c r="BW8"/>
  <c r="BV8"/>
  <c r="BO7"/>
  <c r="BN7"/>
  <c r="BM7"/>
  <c r="BL7"/>
  <c r="BM5"/>
  <c r="BL5"/>
  <c r="O182" i="1"/>
  <c r="P361" l="1"/>
  <c r="Q361"/>
  <c r="R361"/>
  <c r="O361"/>
  <c r="O8"/>
  <c r="O7" s="1"/>
  <c r="R182"/>
  <c r="R487"/>
  <c r="R497"/>
  <c r="R501"/>
  <c r="R546"/>
  <c r="R555"/>
  <c r="O6" l="1"/>
  <c r="O562" s="1"/>
  <c r="R439"/>
  <c r="R438" s="1"/>
  <c r="R427" s="1"/>
  <c r="R8"/>
  <c r="R7" s="1"/>
  <c r="R282"/>
  <c r="N161"/>
  <c r="R6" l="1"/>
  <c r="R562" s="1"/>
  <c r="N245" l="1"/>
  <c r="N124"/>
  <c r="N469"/>
  <c r="N555"/>
  <c r="P555"/>
  <c r="Q555"/>
  <c r="N86" l="1"/>
  <c r="N205"/>
  <c r="N274" l="1"/>
  <c r="N33"/>
  <c r="N514"/>
  <c r="ES44" i="7"/>
  <c r="ET44"/>
  <c r="EW46" s="1"/>
  <c r="EU44"/>
  <c r="EX44" l="1"/>
  <c r="EV44"/>
  <c r="N326" i="1"/>
  <c r="N215"/>
  <c r="C28" i="3"/>
  <c r="D28"/>
  <c r="E28"/>
  <c r="F28"/>
  <c r="G28"/>
  <c r="H28"/>
  <c r="I28"/>
  <c r="B28"/>
  <c r="H26"/>
  <c r="I26"/>
  <c r="J26"/>
  <c r="H5"/>
  <c r="I5"/>
  <c r="J5"/>
  <c r="H6"/>
  <c r="I6"/>
  <c r="J6"/>
  <c r="H7"/>
  <c r="I7"/>
  <c r="J7"/>
  <c r="H8"/>
  <c r="I8"/>
  <c r="J8"/>
  <c r="H9"/>
  <c r="I9"/>
  <c r="J9"/>
  <c r="H10"/>
  <c r="I10"/>
  <c r="J10"/>
  <c r="H11"/>
  <c r="I11"/>
  <c r="J11"/>
  <c r="H12"/>
  <c r="I12"/>
  <c r="J12"/>
  <c r="H13"/>
  <c r="I13"/>
  <c r="J13"/>
  <c r="H14"/>
  <c r="I14"/>
  <c r="J14"/>
  <c r="H15"/>
  <c r="I15"/>
  <c r="J15"/>
  <c r="H16"/>
  <c r="I16"/>
  <c r="J16"/>
  <c r="H17"/>
  <c r="I17"/>
  <c r="J17"/>
  <c r="H18"/>
  <c r="I18"/>
  <c r="J18"/>
  <c r="H19"/>
  <c r="I19"/>
  <c r="J19"/>
  <c r="H20"/>
  <c r="I20"/>
  <c r="J20"/>
  <c r="H21"/>
  <c r="I21"/>
  <c r="J21"/>
  <c r="J28" s="1"/>
  <c r="H22"/>
  <c r="I22"/>
  <c r="J22"/>
  <c r="H23"/>
  <c r="I23"/>
  <c r="J23"/>
  <c r="H24"/>
  <c r="I24"/>
  <c r="J24"/>
  <c r="H25"/>
  <c r="I25"/>
  <c r="J25"/>
  <c r="H27"/>
  <c r="I27"/>
  <c r="J27"/>
  <c r="I4"/>
  <c r="J4"/>
  <c r="H4"/>
  <c r="N475" i="1" l="1"/>
  <c r="N235"/>
  <c r="N231"/>
  <c r="N375" l="1"/>
  <c r="N380"/>
  <c r="N370"/>
  <c r="N372"/>
  <c r="N376"/>
  <c r="N315"/>
  <c r="N373" l="1"/>
  <c r="ER44" i="7"/>
  <c r="EX46" s="1"/>
  <c r="P546" i="1"/>
  <c r="Q546"/>
  <c r="P501"/>
  <c r="Q501"/>
  <c r="P497"/>
  <c r="Q497"/>
  <c r="P487"/>
  <c r="P439" s="1"/>
  <c r="P438" s="1"/>
  <c r="P427" s="1"/>
  <c r="Q487"/>
  <c r="P182"/>
  <c r="Q182"/>
  <c r="Q439" l="1"/>
  <c r="Q438" s="1"/>
  <c r="Q427" s="1"/>
  <c r="Q282"/>
  <c r="CS45" i="7"/>
  <c r="CR45"/>
  <c r="CQ45"/>
  <c r="EV46"/>
  <c r="P282" i="1"/>
  <c r="P8"/>
  <c r="P7" s="1"/>
  <c r="Q8"/>
  <c r="Q7" s="1"/>
  <c r="Q6" l="1"/>
  <c r="P6"/>
  <c r="N34"/>
  <c r="N31" s="1"/>
  <c r="AX42" i="6" l="1"/>
  <c r="AY42"/>
  <c r="BE42"/>
  <c r="BD42"/>
  <c r="N147" i="1"/>
  <c r="FK42" i="6" l="1"/>
  <c r="FJ42"/>
  <c r="P562" i="1" l="1"/>
  <c r="N154" l="1"/>
  <c r="N193"/>
  <c r="N347" l="1"/>
  <c r="N422" l="1"/>
  <c r="N333"/>
  <c r="N433" l="1"/>
  <c r="N497" l="1"/>
  <c r="N480"/>
  <c r="N428"/>
  <c r="N346"/>
  <c r="N229"/>
  <c r="N187"/>
  <c r="N185"/>
  <c r="N182"/>
  <c r="N140"/>
  <c r="N212" l="1"/>
  <c r="N368"/>
  <c r="N203"/>
  <c r="ED42" i="6"/>
  <c r="EE42"/>
  <c r="EF42"/>
  <c r="EG42"/>
  <c r="EH42"/>
  <c r="EI42"/>
  <c r="EJ42"/>
  <c r="EK42"/>
  <c r="EL42"/>
  <c r="EM42"/>
  <c r="EN42"/>
  <c r="EO42"/>
  <c r="EP42"/>
  <c r="EQ42"/>
  <c r="ER42"/>
  <c r="ES42"/>
  <c r="ET42"/>
  <c r="EU42"/>
  <c r="EV42"/>
  <c r="EW42"/>
  <c r="EX42"/>
  <c r="EY42"/>
  <c r="EZ42"/>
  <c r="FA42"/>
  <c r="FB42"/>
  <c r="FC42"/>
  <c r="FD42"/>
  <c r="FE42"/>
  <c r="FF42"/>
  <c r="FG42"/>
  <c r="FH42"/>
  <c r="FI42"/>
  <c r="N546" i="1"/>
  <c r="N17"/>
  <c r="N13"/>
  <c r="N9"/>
  <c r="AF42" i="6"/>
  <c r="AG42"/>
  <c r="BY42"/>
  <c r="BX42"/>
  <c r="N302" i="1"/>
  <c r="N292"/>
  <c r="N283" l="1"/>
  <c r="N282" s="1"/>
  <c r="N501" l="1"/>
  <c r="N340"/>
  <c r="N339" s="1"/>
  <c r="N394"/>
  <c r="N20"/>
  <c r="N8" s="1"/>
  <c r="C42" i="6"/>
  <c r="D42"/>
  <c r="E42"/>
  <c r="F42"/>
  <c r="G42"/>
  <c r="H42"/>
  <c r="I42"/>
  <c r="J42"/>
  <c r="K42"/>
  <c r="L42"/>
  <c r="M42"/>
  <c r="N42"/>
  <c r="O42"/>
  <c r="P42"/>
  <c r="Q42"/>
  <c r="R42"/>
  <c r="S42"/>
  <c r="T42"/>
  <c r="U42"/>
  <c r="V42"/>
  <c r="W42"/>
  <c r="X42"/>
  <c r="Y42"/>
  <c r="Z42"/>
  <c r="AA42"/>
  <c r="AB42"/>
  <c r="AC42"/>
  <c r="AD42"/>
  <c r="AE42"/>
  <c r="AH42"/>
  <c r="AI42"/>
  <c r="AJ42"/>
  <c r="AK42"/>
  <c r="AL42"/>
  <c r="AM42"/>
  <c r="AP42"/>
  <c r="AQ42"/>
  <c r="AR42"/>
  <c r="AS42"/>
  <c r="AT42"/>
  <c r="AU42"/>
  <c r="BB42"/>
  <c r="BC42"/>
  <c r="BF42"/>
  <c r="BG42"/>
  <c r="BH42"/>
  <c r="BI42"/>
  <c r="BJ42"/>
  <c r="BK42"/>
  <c r="BL42"/>
  <c r="BM42"/>
  <c r="BN42"/>
  <c r="BO42"/>
  <c r="BP42"/>
  <c r="BQ42"/>
  <c r="BR42"/>
  <c r="BS42"/>
  <c r="BT42"/>
  <c r="BU42"/>
  <c r="BV42"/>
  <c r="BW42"/>
  <c r="BZ42"/>
  <c r="CA42"/>
  <c r="CD42"/>
  <c r="CE42"/>
  <c r="CH42"/>
  <c r="CH43" s="1"/>
  <c r="CI42"/>
  <c r="CI43" s="1"/>
  <c r="CJ42"/>
  <c r="CK42"/>
  <c r="CL42"/>
  <c r="CM42"/>
  <c r="CN42"/>
  <c r="CO42"/>
  <c r="CP42"/>
  <c r="CQ42"/>
  <c r="CR42"/>
  <c r="CS42"/>
  <c r="CT42"/>
  <c r="CU42"/>
  <c r="CV42"/>
  <c r="CW42"/>
  <c r="CX42"/>
  <c r="CY42"/>
  <c r="CZ42"/>
  <c r="DA42"/>
  <c r="DB42"/>
  <c r="DC42"/>
  <c r="DD42"/>
  <c r="DE42"/>
  <c r="DH42"/>
  <c r="DI42"/>
  <c r="DJ42"/>
  <c r="DK42"/>
  <c r="DN42"/>
  <c r="DO42"/>
  <c r="DP42"/>
  <c r="DQ42"/>
  <c r="DR42"/>
  <c r="DV42"/>
  <c r="DW42"/>
  <c r="DX42"/>
  <c r="DY42"/>
  <c r="DZ42"/>
  <c r="EA42"/>
  <c r="EB42"/>
  <c r="EC42"/>
  <c r="B42"/>
  <c r="DS42"/>
  <c r="DT42"/>
  <c r="DL42"/>
  <c r="N484" i="1"/>
  <c r="N487"/>
  <c r="DU42" i="6"/>
  <c r="DM42"/>
  <c r="DF42"/>
  <c r="DG42"/>
  <c r="N439" i="1" l="1"/>
  <c r="CG43" i="6"/>
  <c r="CF43"/>
  <c r="BE43"/>
  <c r="BD43"/>
  <c r="BB43"/>
  <c r="BC43"/>
  <c r="CD43"/>
  <c r="CE43"/>
  <c r="FH43"/>
  <c r="FI43"/>
  <c r="FI44"/>
  <c r="FH44"/>
  <c r="N338" i="1"/>
  <c r="CV43" i="6"/>
  <c r="CP43"/>
  <c r="BJ43"/>
  <c r="CW43"/>
  <c r="CQ43"/>
  <c r="BK43"/>
  <c r="DR43"/>
  <c r="DL43"/>
  <c r="DM43"/>
  <c r="DS43"/>
  <c r="N7" i="1" l="1"/>
  <c r="N361"/>
  <c r="Q562" l="1"/>
  <c r="N438"/>
  <c r="N427" s="1"/>
  <c r="N6" l="1"/>
  <c r="N562" s="1"/>
</calcChain>
</file>

<file path=xl/sharedStrings.xml><?xml version="1.0" encoding="utf-8"?>
<sst xmlns="http://schemas.openxmlformats.org/spreadsheetml/2006/main" count="3846" uniqueCount="1557">
  <si>
    <t xml:space="preserve">Код строки
</t>
  </si>
  <si>
    <t xml:space="preserve">Код расхода по БК
</t>
  </si>
  <si>
    <t>1</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</si>
  <si>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</si>
  <si>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</si>
  <si>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</si>
  <si>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</si>
  <si>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</si>
  <si>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</si>
  <si>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</si>
  <si>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</si>
  <si>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</si>
  <si>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</si>
  <si>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</si>
  <si>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</si>
  <si>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</si>
  <si>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</si>
  <si>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</si>
  <si>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</si>
  <si>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</si>
  <si>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</si>
  <si>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</si>
  <si>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</si>
  <si>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</si>
  <si>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</si>
  <si>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</si>
  <si>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</si>
  <si>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</si>
  <si>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</si>
  <si>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</si>
  <si>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</si>
  <si>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1005</t>
  </si>
  <si>
    <t>05</t>
  </si>
  <si>
    <t>02</t>
  </si>
  <si>
    <t>04</t>
  </si>
  <si>
    <t>09</t>
  </si>
  <si>
    <t>1007</t>
  </si>
  <si>
    <t>08</t>
  </si>
  <si>
    <t>03</t>
  </si>
  <si>
    <t>1015</t>
  </si>
  <si>
    <t>07</t>
  </si>
  <si>
    <t>1024</t>
  </si>
  <si>
    <t>1048</t>
  </si>
  <si>
    <t>1100</t>
  </si>
  <si>
    <t>1103</t>
  </si>
  <si>
    <t>1118</t>
  </si>
  <si>
    <t>1.3.1.6. создание условий для развития туризма</t>
  </si>
  <si>
    <t>1401</t>
  </si>
  <si>
    <t>1403</t>
  </si>
  <si>
    <t>1503</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</si>
  <si>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</si>
  <si>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</si>
  <si>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</si>
  <si>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</si>
  <si>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</si>
  <si>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</si>
  <si>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</si>
  <si>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</si>
  <si>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</si>
  <si>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01.06.2007, не установлен</t>
  </si>
  <si>
    <t>01.01.2008, не установлен</t>
  </si>
  <si>
    <t>29.02.1993, не установлен</t>
  </si>
  <si>
    <t>01.01.2005, не установлен</t>
  </si>
  <si>
    <t>01.01.2009, не установлен</t>
  </si>
  <si>
    <t>в целом</t>
  </si>
  <si>
    <t>13.08.2014, не установлен</t>
  </si>
  <si>
    <t>п. 1</t>
  </si>
  <si>
    <t>23.04.2012, не установлен</t>
  </si>
  <si>
    <t>п.1-3</t>
  </si>
  <si>
    <t>ст. 15, п.1, п.п. 3</t>
  </si>
  <si>
    <t xml:space="preserve">
Гл. 1-2 Положения</t>
  </si>
  <si>
    <t xml:space="preserve">
13.07.2010, не установлен</t>
  </si>
  <si>
    <t>01.08.2006, не установлен</t>
  </si>
  <si>
    <t>01.01.2014, не установлен</t>
  </si>
  <si>
    <t>Гл.3, ст.15, п.1, п.п.5</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</si>
  <si>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</si>
  <si>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</si>
  <si>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</si>
  <si>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</si>
  <si>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</si>
  <si>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</si>
  <si>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п.1</t>
  </si>
  <si>
    <t>10.09.2012,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</si>
  <si>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</si>
  <si>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</si>
  <si>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</si>
  <si>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</si>
  <si>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</si>
  <si>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</si>
  <si>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</si>
  <si>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</si>
  <si>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</si>
  <si>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</si>
  <si>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</si>
  <si>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</si>
  <si>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</si>
  <si>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</si>
  <si>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</si>
  <si>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</si>
  <si>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</si>
  <si>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</si>
  <si>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</si>
  <si>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</si>
  <si>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Гл.3, ст.15, часть 1, п.19.1</t>
  </si>
  <si>
    <t>ст. 10</t>
  </si>
  <si>
    <t>08.07.2007, не установлен</t>
  </si>
  <si>
    <t>01.01.2015, не установлен</t>
  </si>
  <si>
    <t>Гл.3, ст.15, п.1, п.п. 25</t>
  </si>
  <si>
    <t>01.01.2013,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</si>
  <si>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</si>
  <si>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</si>
  <si>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ст. 1</t>
  </si>
  <si>
    <t>Гл.3, ст.15, п.1, п.п.26</t>
  </si>
  <si>
    <t xml:space="preserve">п. 2-5 Положения,      </t>
  </si>
  <si>
    <t>30.03.2007, не установлен</t>
  </si>
  <si>
    <t xml:space="preserve">Федеральный Закон от 06.10.2003 № 131-ФЗ "Об общих принципах организации местного самоуправления" </t>
  </si>
  <si>
    <t>Гл.3, ст.15, п.1, п.п.27</t>
  </si>
  <si>
    <t>01.01.2007, не установлен</t>
  </si>
  <si>
    <t>(684)</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</si>
  <si>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</si>
  <si>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</si>
  <si>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</si>
  <si>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</si>
  <si>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</si>
  <si>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</si>
  <si>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</si>
  <si>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</si>
  <si>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06.10.2003, не утановлен</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</si>
  <si>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</si>
  <si>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</si>
  <si>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</si>
  <si>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</si>
  <si>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</si>
  <si>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</si>
  <si>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</si>
  <si>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</si>
  <si>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</si>
  <si>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</si>
  <si>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</si>
  <si>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</si>
  <si>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</si>
  <si>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20.11.2015, не установлен</t>
  </si>
  <si>
    <t>ст.57, п.1, п.2</t>
  </si>
  <si>
    <t>25.06.2002, не установлен</t>
  </si>
  <si>
    <t>ст. 22, п.1</t>
  </si>
  <si>
    <t>29.01.2007, не установлен</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</si>
  <si>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</si>
  <si>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</si>
  <si>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</si>
  <si>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</si>
  <si>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</si>
  <si>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</si>
  <si>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</si>
  <si>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</si>
  <si>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</si>
  <si>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</si>
  <si>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</si>
  <si>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</si>
  <si>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</si>
  <si>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</si>
  <si>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</si>
  <si>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</si>
  <si>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</si>
  <si>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</si>
  <si>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</si>
  <si>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</si>
  <si>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</si>
  <si>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</si>
  <si>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</si>
  <si>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</si>
  <si>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</si>
  <si>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</si>
  <si>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</si>
  <si>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</si>
  <si>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</si>
  <si>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</si>
  <si>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</si>
  <si>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</si>
  <si>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</si>
  <si>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</si>
  <si>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</si>
  <si>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</si>
  <si>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</si>
  <si>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</si>
  <si>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</si>
  <si>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</si>
  <si>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</si>
  <si>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</si>
  <si>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</si>
  <si>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</si>
  <si>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</si>
  <si>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</si>
  <si>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</si>
  <si>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</si>
  <si>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</si>
  <si>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</si>
  <si>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вводиться в действие ежегодно</t>
  </si>
  <si>
    <t>п.1-4</t>
  </si>
  <si>
    <t>01.07.2010, до окончания срока действия ЗТО от 10.11.2006 № 261-ОЗ</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</si>
  <si>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</si>
  <si>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</si>
  <si>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</si>
  <si>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</si>
  <si>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</si>
  <si>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</si>
  <si>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</si>
  <si>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</si>
  <si>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</si>
  <si>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</si>
  <si>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</si>
  <si>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</si>
  <si>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</si>
  <si>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</si>
  <si>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</si>
  <si>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</si>
  <si>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</si>
  <si>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</si>
  <si>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</si>
  <si>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</si>
  <si>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</si>
  <si>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</si>
  <si>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</si>
  <si>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</si>
  <si>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</si>
  <si>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</si>
  <si>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</si>
  <si>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</si>
  <si>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</si>
  <si>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</si>
  <si>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</si>
  <si>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</si>
  <si>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</si>
  <si>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</si>
  <si>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</si>
  <si>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</si>
  <si>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</si>
  <si>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</si>
  <si>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</si>
  <si>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</si>
  <si>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</si>
  <si>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</si>
  <si>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</si>
  <si>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</si>
  <si>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</si>
  <si>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</si>
  <si>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</si>
  <si>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</si>
  <si>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</si>
  <si>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</si>
  <si>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</si>
  <si>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</si>
  <si>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</si>
  <si>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</si>
  <si>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</si>
  <si>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</si>
  <si>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</si>
  <si>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</si>
  <si>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</si>
  <si>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</si>
  <si>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</si>
  <si>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</si>
  <si>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</si>
  <si>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</si>
  <si>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</si>
  <si>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</si>
  <si>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</si>
  <si>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</si>
  <si>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</si>
  <si>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</si>
  <si>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</si>
  <si>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</si>
  <si>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</si>
  <si>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</si>
  <si>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</si>
  <si>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</si>
  <si>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</si>
  <si>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</si>
  <si>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</si>
  <si>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</si>
  <si>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</si>
  <si>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</si>
  <si>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01.01.2011, не установлен</t>
  </si>
  <si>
    <t>01.01.2013 не установлен</t>
  </si>
  <si>
    <t>Гл.3, ст.15, п. 1, п.п. 20</t>
  </si>
  <si>
    <t>ст. 15</t>
  </si>
  <si>
    <t>16.07.2012, не установлен</t>
  </si>
  <si>
    <t>Федеральный закон от 28.03.1998 N 53-ФЗ "О воинской обязанности и военной службе"</t>
  </si>
  <si>
    <t>ст. 8, п. 2</t>
  </si>
  <si>
    <t>30.03.1998, не установлен</t>
  </si>
  <si>
    <t>21.12.2015- 25.12.2015</t>
  </si>
  <si>
    <t>(320)</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</si>
  <si>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</si>
  <si>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</si>
  <si>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</si>
  <si>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</si>
  <si>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</si>
  <si>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</si>
  <si>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</si>
  <si>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</si>
  <si>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</si>
  <si>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</si>
  <si>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</si>
  <si>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</si>
  <si>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(578)</t>
  </si>
  <si>
    <t>01.09.2019, не установлен</t>
  </si>
  <si>
    <t>01.01.2010, не установлен</t>
  </si>
  <si>
    <t>01.04.2013, не установлен</t>
  </si>
  <si>
    <t>(574)</t>
  </si>
  <si>
    <t>(683)</t>
  </si>
  <si>
    <t>(679)</t>
  </si>
  <si>
    <t xml:space="preserve"> ст. 47, ч.5, п. 7</t>
  </si>
  <si>
    <t>(612)</t>
  </si>
  <si>
    <t xml:space="preserve"> 01.09.2013, не установлен </t>
  </si>
  <si>
    <t xml:space="preserve"> ст. 36, ч.14</t>
  </si>
  <si>
    <t>(660)</t>
  </si>
  <si>
    <t>ст. 15, п.1, п.п. 4</t>
  </si>
  <si>
    <t>Гл.3, ст.15, п.1, п.п.6.2.</t>
  </si>
  <si>
    <t>Гл.3, ст.15, п.1, п.п. 9</t>
  </si>
  <si>
    <t xml:space="preserve">ст. 15, п. 1, п.п 11.                                                                                                                                                                          </t>
  </si>
  <si>
    <t>ст. 22, 23, 24</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</si>
  <si>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</si>
  <si>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</si>
  <si>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</si>
  <si>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</si>
  <si>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</si>
  <si>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</si>
  <si>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</si>
  <si>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</si>
  <si>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</si>
  <si>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</si>
  <si>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</si>
  <si>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</si>
  <si>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</si>
  <si>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</si>
  <si>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</si>
  <si>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</si>
  <si>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</si>
  <si>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</si>
  <si>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</si>
  <si>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</si>
  <si>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</si>
  <si>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</si>
  <si>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28.04.2014, не установлен</t>
  </si>
  <si>
    <t>16.04.2015, не установлен</t>
  </si>
  <si>
    <t>Федеральный закон от 21 июля 2005 г. N 108-ФЗ
"О Всероссийской сельскохозяйственной переписи"</t>
  </si>
  <si>
    <t>21.06.2005, не установлен</t>
  </si>
  <si>
    <t>1101</t>
  </si>
  <si>
    <t>0102</t>
  </si>
  <si>
    <t>0103</t>
  </si>
  <si>
    <t>0104</t>
  </si>
  <si>
    <t>0106</t>
  </si>
  <si>
    <t>0111</t>
  </si>
  <si>
    <t>0113</t>
  </si>
  <si>
    <t>1004</t>
  </si>
  <si>
    <t>1020</t>
  </si>
  <si>
    <t>0309</t>
  </si>
  <si>
    <t>1010</t>
  </si>
  <si>
    <t>0405</t>
  </si>
  <si>
    <t>0406</t>
  </si>
  <si>
    <t>0408</t>
  </si>
  <si>
    <t>0409</t>
  </si>
  <si>
    <t>1006</t>
  </si>
  <si>
    <t>0412</t>
  </si>
  <si>
    <t>0502</t>
  </si>
  <si>
    <t>0503</t>
  </si>
  <si>
    <t>0701</t>
  </si>
  <si>
    <t>0702</t>
  </si>
  <si>
    <t>0707</t>
  </si>
  <si>
    <t>0709</t>
  </si>
  <si>
    <t>0801</t>
  </si>
  <si>
    <t>0804</t>
  </si>
  <si>
    <t>1003</t>
  </si>
  <si>
    <t>1102</t>
  </si>
  <si>
    <t>1301</t>
  </si>
  <si>
    <t>итого</t>
  </si>
  <si>
    <t>0203</t>
  </si>
  <si>
    <t>0310</t>
  </si>
  <si>
    <t>0501</t>
  </si>
  <si>
    <t>0401</t>
  </si>
  <si>
    <t>22.06.2015, не установлен</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</si>
  <si>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</si>
  <si>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01.07.2010, до окончания действия ЗТО от 29.12.2005 № 248-ОЗ</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</si>
  <si>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</si>
  <si>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25.11.2013- 31.12.2020</t>
  </si>
  <si>
    <t>подпрограмма</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</si>
  <si>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</si>
  <si>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</si>
  <si>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</si>
  <si>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</si>
  <si>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</si>
  <si>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</si>
  <si>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</si>
  <si>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</si>
  <si>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</si>
  <si>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</si>
  <si>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</si>
  <si>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</si>
  <si>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</si>
  <si>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01.01.2016, не установлен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</si>
  <si>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</si>
  <si>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</si>
  <si>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</si>
  <si>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0105</t>
  </si>
  <si>
    <t>23.05.2012, не установлен</t>
  </si>
  <si>
    <r>
      <t>наименование, номер и дата</t>
    </r>
    <r>
      <rPr>
        <b/>
        <sz val="9"/>
        <rFont val="Times New Roman"/>
        <family val="1"/>
        <charset val="204"/>
      </rPr>
      <t xml:space="preserve">
</t>
    </r>
  </si>
  <si>
    <t>25.04.2014, не установлен</t>
  </si>
  <si>
    <t>(564) (565) (628) (663)</t>
  </si>
  <si>
    <t>01.09.2015, не установлен</t>
  </si>
  <si>
    <t>0107</t>
  </si>
  <si>
    <t>0703</t>
  </si>
  <si>
    <t>(208 567)</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</si>
  <si>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</si>
  <si>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</si>
  <si>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</si>
  <si>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</si>
  <si>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</si>
  <si>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</si>
  <si>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</si>
  <si>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</si>
  <si>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(499 710)</t>
  </si>
  <si>
    <t>(100 300)</t>
  </si>
  <si>
    <t>(100 307)</t>
  </si>
  <si>
    <t>Решение Думы Колпашевского района от 19.11.2012 № 142 "Об утверждении Положения «О звании «Почётный гражданин Колпашевского района» (в редакции от 28.03.2017 № 17)</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</si>
  <si>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</si>
  <si>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</si>
  <si>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</si>
  <si>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</si>
  <si>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(499 711)</t>
  </si>
  <si>
    <t>(100 314)</t>
  </si>
  <si>
    <t>(100 312)</t>
  </si>
  <si>
    <t>(100 311)</t>
  </si>
  <si>
    <t>02.05.2017-20.12.2017</t>
  </si>
  <si>
    <t>(499 712)</t>
  </si>
  <si>
    <t>(499 713)</t>
  </si>
  <si>
    <t>(100 318)</t>
  </si>
  <si>
    <t>(100 316)</t>
  </si>
  <si>
    <t>(100 321)</t>
  </si>
  <si>
    <t>(499 714)</t>
  </si>
  <si>
    <t>(409 702)</t>
  </si>
  <si>
    <t>(100 322)</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</si>
  <si>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</si>
  <si>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</si>
  <si>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(499 715)</t>
  </si>
  <si>
    <t>(100 336)</t>
  </si>
  <si>
    <t>(100 326)</t>
  </si>
  <si>
    <t>(100 327)</t>
  </si>
  <si>
    <t>(100 329)</t>
  </si>
  <si>
    <t>(100 332)</t>
  </si>
  <si>
    <t>(100 338)</t>
  </si>
  <si>
    <t>0505</t>
  </si>
  <si>
    <t>(219 705)</t>
  </si>
  <si>
    <t>(100 341)</t>
  </si>
  <si>
    <t>(499 717)</t>
  </si>
  <si>
    <t>(499 718)</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</si>
  <si>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</si>
  <si>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</si>
  <si>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</si>
  <si>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</si>
  <si>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</si>
  <si>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(499 719)</t>
  </si>
  <si>
    <t>Постановление Администрации Колпашевского района от 02.05.2017 № 398 "О порядке расходования средств субсидии из областного бюджета на реализацию мероприятия "Поддержка обустройства мест массового отдыха населения (городских парков)" подпрограммы "Обеспечение доступности и комфортности жилища, формирование качественной жилой среды" государственной программы "Обеспечение доступности жилья и улучшение качества жилищных условий населения Томской области" (в редакции от 15.05.2017 № 423, от 23.11.2017 № 1243)</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</si>
  <si>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</si>
  <si>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</si>
  <si>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 xml:space="preserve">01.09.2013, не указан </t>
  </si>
  <si>
    <t>24.06.2014, не установлен</t>
  </si>
  <si>
    <t>ст.40</t>
  </si>
  <si>
    <t xml:space="preserve"> 01.01.2009, не установлен</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</si>
  <si>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</si>
  <si>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01.01.2010 -31.12.2020</t>
  </si>
  <si>
    <t>01.07.2010, не установлен</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</si>
  <si>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</si>
  <si>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</si>
  <si>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</si>
  <si>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(100 305)</t>
  </si>
  <si>
    <t>(218 687)</t>
  </si>
  <si>
    <t>(213 587)</t>
  </si>
  <si>
    <t>01.01.2018, не установлен</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</si>
  <si>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</si>
  <si>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</si>
  <si>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</si>
  <si>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</si>
  <si>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</si>
  <si>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(605)</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</si>
  <si>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</si>
  <si>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</si>
  <si>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25.03.2015, не установлен</t>
  </si>
  <si>
    <t>ст.15 п.1 пп.19</t>
  </si>
  <si>
    <t>ст.15 п.1 пп.1</t>
  </si>
  <si>
    <t>1201</t>
  </si>
  <si>
    <t>1206</t>
  </si>
  <si>
    <t>1307</t>
  </si>
  <si>
    <t>1034</t>
  </si>
  <si>
    <t>1021</t>
  </si>
  <si>
    <t>1202</t>
  </si>
  <si>
    <t>Постановление Администрации Колпашевского района от 16.05.2018 № 415 "О порядке использования средств муниципальной программы "Обеспечение безопасности населения Колпашевского района", предусмотренных на организацию видеонаблюдения в образовательных"</t>
  </si>
  <si>
    <t>16.05.2018- 20.12.2018</t>
  </si>
  <si>
    <t>1023</t>
  </si>
  <si>
    <t>1026</t>
  </si>
  <si>
    <t>1801</t>
  </si>
  <si>
    <t>(100 325)</t>
  </si>
  <si>
    <t>(100 328)</t>
  </si>
  <si>
    <t>(100 330)</t>
  </si>
  <si>
    <t>(414 681)</t>
  </si>
  <si>
    <t>(210 619)</t>
  </si>
  <si>
    <t>(203 603)</t>
  </si>
  <si>
    <t>20.09.2018- 20.12.2018</t>
  </si>
  <si>
    <t>(100 342)</t>
  </si>
  <si>
    <t>(218 596)</t>
  </si>
  <si>
    <t>18.09.2018, не установлен</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</si>
  <si>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</si>
  <si>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12.08.2014, не установлен</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</si>
  <si>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</si>
  <si>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</si>
  <si>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</si>
  <si>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</si>
  <si>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</si>
  <si>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1.1.1.16. организация мероприятий межпоселенческого характера по охране окружающей среды</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</si>
  <si>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</si>
  <si>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</si>
  <si>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</si>
  <si>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</si>
  <si>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1.1.1.27. формирование и содержание муниципального архива, включая хранение архивных фондов поселений</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</si>
  <si>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</si>
  <si>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</si>
  <si>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</si>
  <si>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</si>
  <si>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1044</t>
  </si>
  <si>
    <t>1.1.1.42. содействие развитию малого и среднего предпринимательства</t>
  </si>
  <si>
    <t>1045</t>
  </si>
  <si>
    <t>1.1.1.43. оказание поддержки социально ориентированным некоммерческим организациям, благотворительной деятельности и добровольчеству</t>
  </si>
  <si>
    <t>1046</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</si>
  <si>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</si>
  <si>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</si>
  <si>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1.1.1.46.   организация и осуществление мероприятий межпоселенческого характера по работе с детьми и молодежью</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</si>
  <si>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</si>
  <si>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</si>
  <si>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</si>
  <si>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</si>
  <si>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</si>
  <si>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</si>
  <si>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1.2.6. принятие устава муниципального образования и внесение в него изменений и дополнений, издание муниципальных правовых актов</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</si>
  <si>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</si>
  <si>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</si>
  <si>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</si>
  <si>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1.3.3.3. дополнительные меры социальной поддержки и социальной помощи для отдельных категорий граждан</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</si>
  <si>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</si>
  <si>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</si>
  <si>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</si>
  <si>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1.4.1. за счет субвенций, предоставленных из федерального бюджета, всего</t>
  </si>
  <si>
    <t>1703 (586)</t>
  </si>
  <si>
    <t>1.4.2. за счет субвенций, предоставленных из бюджета субъекта Российской Федерации, всего</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</si>
  <si>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</si>
  <si>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 (568)</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</si>
  <si>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</si>
  <si>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 (562)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</si>
  <si>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</si>
  <si>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</si>
  <si>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1.6.4. по предоставлению иных межбюджетных трансфертов, всего</t>
  </si>
  <si>
    <t>1.6.4.2. в  иных  случаях, не связанных с    заключением   соглашений, предусмотренных в подпункте  1.6.4.1., всего</t>
  </si>
  <si>
    <t xml:space="preserve">1.6.4.2.1. владение, пользование и распоряжение имуществом, находящимся в муниципальной собственности городского и сельского поселения
</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</si>
  <si>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</si>
  <si>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1.6.4.2.2.1. за счет средств бюджета Колпашевского района</t>
  </si>
  <si>
    <t>1.6.4.2.2.2. за счет средств областного бюджета</t>
  </si>
  <si>
    <t>1.6.4.2.2.2.1. Иные межбюджетные трансферты на компенсацию расходов по организации электроснабжения от дизельных электростанций за счет средств субсидии</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</si>
  <si>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</si>
  <si>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2305</t>
  </si>
  <si>
    <t>2307</t>
  </si>
  <si>
    <t>1.6.4.2.11.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</si>
  <si>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2311</t>
  </si>
  <si>
    <t>1.6.4.2.11.1 ИМБТ на организацию видионаблюдения в местах массового скопления людей</t>
  </si>
  <si>
    <t>1.6.4.2.13. участие в предупреждении и ликвидации последствий чрезвычайных ситуаций в границах городского и сельского поселения</t>
  </si>
  <si>
    <t>1.6.4.2.14. обеспечение первичных мер пожарной безопасности в границах населенных пунктов городского и сельского поселения</t>
  </si>
  <si>
    <t>1.6.4.2.15. создание условий для обеспечения жителей городского и сельского поселения услугами связи, общественного питания, торговли и бытового обслуживания</t>
  </si>
  <si>
    <t>1.6.4.2.20. обеспечение условий для развития на территории городского и сельского поселения физической культуры, школьного спорта и массового спорта</t>
  </si>
  <si>
    <t>1.6.4.2.21. организация проведения официальных физкультурно-оздоровительных и спортивных мероприятий городского и сельского поселения</t>
  </si>
  <si>
    <t>2321</t>
  </si>
  <si>
    <t>1.6.4.2.22. создание условий для массового отдыха жителей городского и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</si>
  <si>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2322 (653, 654)</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</si>
  <si>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</si>
  <si>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1.6.4.2.26.1. за счет местного бюджета</t>
  </si>
  <si>
    <t>1.6.4.2.26.2. за счет средств областного бюджета</t>
  </si>
  <si>
    <t>1.6.4.2.29. утверждение генеральных планов городского и сельского поселения, правил землепользования и застройки, утверждение подготовленной на основе генеральных планов городского и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и сельского поселения, утверждение местных нормативов градостроительного проектирования городского и сельского поселений, резервирование земель и изъятие земельных участков в границах городского и сельского поселения для муниципальных нужд, осуществление муниципального земельного контроля в границах городского и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</si>
  <si>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1.6.4.2.36. 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t>
  </si>
  <si>
    <t>1.6.4.2.39. организация и осуществление мероприятий по работе с детьми и молодежью в городском поселении</t>
  </si>
  <si>
    <t>1.6.4.2.48.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</si>
  <si>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2348 (100 323)</t>
  </si>
  <si>
    <t>1.6.4.2.49. создание условий для развития туризма</t>
  </si>
  <si>
    <t>1.6.4.2.50. обеспечение сбалансированности бюджетов городских и сельских поселений</t>
  </si>
  <si>
    <t>2350</t>
  </si>
  <si>
    <t>1.1.1.17.1. Создание условий для реализации образовательных программ дошкольного образования, присмотра и ухода</t>
  </si>
  <si>
    <t>1.1.1.17.2. МП "Обеспечение безопасности  населения Колпашевского района"</t>
  </si>
  <si>
    <t>1.1.1.18.2. компенсация расходов на питание обучающимся общеобразовательных учреждений</t>
  </si>
  <si>
    <t>1.1.2.18. организация библиотечного обслуживания населения, комплектование и обеспечение сохранности библиотечных фондов библиотек  поселения</t>
  </si>
  <si>
    <t>1.1.2.19. создание условий для организации досуга и обеспечения жителей  поселения услугами организаций культуры</t>
  </si>
  <si>
    <t>1.4.1.11. на выплату единовременного пособия при всех формах устройства детей, лишенных родительского попечения, в семью</t>
  </si>
  <si>
    <t>2003 (309 572) (309 592)</t>
  </si>
  <si>
    <t>(310 580)</t>
  </si>
  <si>
    <t>(312 551) (323 554)</t>
  </si>
  <si>
    <t>(311 606 312 556)</t>
  </si>
  <si>
    <t>(303 558)</t>
  </si>
  <si>
    <t>(304 581)</t>
  </si>
  <si>
    <t>(313 553)</t>
  </si>
  <si>
    <t>(305 557)</t>
  </si>
  <si>
    <t>(312 562)</t>
  </si>
  <si>
    <t xml:space="preserve">ст. 9, ст. 40 </t>
  </si>
  <si>
    <t>1.1.1.18.1. Создание условий для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t>
  </si>
  <si>
    <t>1221</t>
  </si>
  <si>
    <t>1213</t>
  </si>
  <si>
    <t>1029</t>
  </si>
  <si>
    <t>1208</t>
  </si>
  <si>
    <t>1601</t>
  </si>
  <si>
    <t>1603</t>
  </si>
  <si>
    <t>1604</t>
  </si>
  <si>
    <t>1040</t>
  </si>
  <si>
    <t>1041</t>
  </si>
  <si>
    <t>1019</t>
  </si>
  <si>
    <t>1068</t>
  </si>
  <si>
    <t>1119</t>
  </si>
  <si>
    <t>1047</t>
  </si>
  <si>
    <t>1802</t>
  </si>
  <si>
    <t>1703</t>
  </si>
  <si>
    <t>1805</t>
  </si>
  <si>
    <t>1854</t>
  </si>
  <si>
    <t>1722</t>
  </si>
  <si>
    <t>1821</t>
  </si>
  <si>
    <t>2003</t>
  </si>
  <si>
    <t>1896</t>
  </si>
  <si>
    <t>1838</t>
  </si>
  <si>
    <t>1712</t>
  </si>
  <si>
    <t>2301</t>
  </si>
  <si>
    <t>2104</t>
  </si>
  <si>
    <t>2313</t>
  </si>
  <si>
    <t>2336</t>
  </si>
  <si>
    <t>2304</t>
  </si>
  <si>
    <t>2315</t>
  </si>
  <si>
    <t>0410</t>
  </si>
  <si>
    <t>2302</t>
  </si>
  <si>
    <t>2326</t>
  </si>
  <si>
    <t>2105</t>
  </si>
  <si>
    <t>2352</t>
  </si>
  <si>
    <t>2320</t>
  </si>
  <si>
    <t>2101</t>
  </si>
  <si>
    <t>1204</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</si>
  <si>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</si>
  <si>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ст. 20</t>
  </si>
  <si>
    <t>01.10.2011, не установлен</t>
  </si>
  <si>
    <t>Закон РФ от 19.02.1993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</si>
  <si>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 ст. 35</t>
  </si>
  <si>
    <t>01.06.1993, не установлен</t>
  </si>
  <si>
    <t>Закон Томской области от 14.05.2005 N 78-ОЗ "О гарантиях и компенсациях для лиц, проживающих в местностях, приравненных к районам Крайнего Севера"</t>
  </si>
  <si>
    <t>ст. 4, ст.5</t>
  </si>
  <si>
    <t>гл. 8 Положения</t>
  </si>
  <si>
    <t>1.1.1.38.1. обеспечение безопасности гидротехнических сооружений</t>
  </si>
  <si>
    <t>Федеральный закон от 21.12.1994 N 68-ФЗ "О защите населения и территорий от чрезвычайных ситуаций природного и техногенного характера"</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</si>
  <si>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</si>
  <si>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 3</t>
  </si>
  <si>
    <t>1.1.1.39.1. мроприятия в области сельскохозяйственного производства</t>
  </si>
  <si>
    <t>01.01.2019- 31.12.2024</t>
  </si>
  <si>
    <t>ст. 2</t>
  </si>
  <si>
    <t>ст. 17, п.1, п.п.8.1; ст.34, п.9</t>
  </si>
  <si>
    <t>п. 3.2.</t>
  </si>
  <si>
    <t>ст.10</t>
  </si>
  <si>
    <t>ст.2</t>
  </si>
  <si>
    <t>Гл.3, ст.17, п. 1., п.п. 8.1</t>
  </si>
  <si>
    <t>01.06.2013, не установлен</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</si>
  <si>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t>
  </si>
  <si>
    <t>(306 555)</t>
  </si>
  <si>
    <t>(306 690)</t>
  </si>
  <si>
    <t>ст. 4</t>
  </si>
  <si>
    <t>Постановление Администрации Колпашевского района от 20.09.2018 № 1006 "О порядке использования средств межбюджетного трансферта, выделенного из бюджета Томской области по итогам проведения областного ежегодного конкурса на лучшее муниципальное образование Томской области по профилактике правонарушений" (в редакции от 24.12.2018 № 1426, от 26.12.2018 № 1448)</t>
  </si>
  <si>
    <t>Постановление Администрации Томской области от 06.09.2013 N 367а "О Порядке предоставления иных межбюджетных трансфертов на организацию системы выявления, сопровождения одаренных детей"</t>
  </si>
  <si>
    <t>06.09.2013, не установлен</t>
  </si>
  <si>
    <t>Постановление Губернатора Томской области от 10.02.2012 N 13 "Об учреждении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</si>
  <si>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(в редакции от 16.12.2011 № 167, от 17.06.2013 № 56, от 28.05.2014 № 51, от 02.11.2015 № 6, от 30.05.2016 № 41, от 24.11.2016 № 112, от 16.02.2017 № 3)</t>
  </si>
  <si>
    <t xml:space="preserve"> ст. 9, ст. 40</t>
  </si>
  <si>
    <t>Федеральный Закон от 29.12.2012 № 273-ФЗ "Об образовании в РФ"</t>
  </si>
  <si>
    <t>Гл. 12, ст. 89, п. 3</t>
  </si>
  <si>
    <t>Решение Думы Колпашевского района от 15.12.2014 № 135 "О финансировании за счёт средств бюджета муниципального образования "Колпашевский район" мер социальной поддержки в виде компенсации расходов по оплате стоимости проезда к месту учебы и обратно для гражданина, заключившего договор о целевом обучении с муниципальной образовательной организацией Колпашевского района" (в редакции от 31.07.2015 № 68, от 28.08.2018 № 67)</t>
  </si>
  <si>
    <t>ст. 4, п. 5</t>
  </si>
  <si>
    <t>ст.2, ст.4</t>
  </si>
  <si>
    <t>1.1.1.18.3. организация системы выявления, сопровождения одаренных детей</t>
  </si>
  <si>
    <t xml:space="preserve">1.1.1.19.1. Создание условий для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 </t>
  </si>
  <si>
    <t>1.1.1.19.2. компенсация расходов на питание обучающимся общеобразовательных учреждений</t>
  </si>
  <si>
    <t>1.1.1.19.3. стипендии Губернатора Томской области молодым учителям МОУ Томской области</t>
  </si>
  <si>
    <t>1.1.1.20.1. организация предоставления дополнительного образования на территории муниципального района</t>
  </si>
  <si>
    <t>1.1.1.20.2. стимулирующие выплаты работникам организаций дополнительного образования</t>
  </si>
  <si>
    <t>1.1.1.20.3. повышение заработной платы педагогических работников муниципальных учреждений дополнительного образования детей</t>
  </si>
  <si>
    <t>1.1.1.32.1. обеспечение деятельности учреждений культуры и мероприятия в области культуры</t>
  </si>
  <si>
    <t>1.1.1.32.2.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</si>
  <si>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1.1.1.32.3.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</si>
  <si>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1.1.1.44.1. обеспечение условий для развитие физической культуры  и массового спорта</t>
  </si>
  <si>
    <t>1.1.1.44.3. субсидиии местным бюджетам на обеспечение условий для развития физической культуры и массового спорта</t>
  </si>
  <si>
    <t>1.6.4.2.11.2. 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t>
  </si>
  <si>
    <t>1.6.4.2.20.1. субсидии местным бюджетам на обеспечение условий для развития физической культуры и массового спорта</t>
  </si>
  <si>
    <t>Закон Томской области от 13.06.2007 № 112-ОЗ "О реализации государственной политики в сфере культуры и искусства на территории Томской области"</t>
  </si>
  <si>
    <t>п.п.6 п.5 Порядка</t>
  </si>
  <si>
    <t>Гл.3, ст.15, п.1,  п.п. 19</t>
  </si>
  <si>
    <t>Федеральный закон от 29 декабря 1994 г. N 78-ФЗ "О библиотечном деле"</t>
  </si>
  <si>
    <t>ст. 15, п. 2</t>
  </si>
  <si>
    <t>ст.24</t>
  </si>
  <si>
    <t>09.10.1997, не установлен</t>
  </si>
  <si>
    <t>Закон Томской области от 09.10.1997 "О библиотечном деле и обязательном экземпляре документов в Томской области"</t>
  </si>
  <si>
    <t>ст.15 п.1 пп.19.1</t>
  </si>
  <si>
    <t>прил.1 к особенностям</t>
  </si>
  <si>
    <t>ст. 5</t>
  </si>
  <si>
    <t>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(в редакции от 14.01.2016 № 9)</t>
  </si>
  <si>
    <t xml:space="preserve">Закон Томской области от 13.08.2007 N 170-ОЗ "О межбюджетных отношениях в Томской области" </t>
  </si>
  <si>
    <t>(201 579)</t>
  </si>
  <si>
    <t>2329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</si>
  <si>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</si>
  <si>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(208 543)</t>
  </si>
  <si>
    <t>(100 310)</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</si>
  <si>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 № 18)</t>
  </si>
  <si>
    <t>Решение Думы Колпашевского района от 28.02.2019 № 19 "О мерах по реализации постановления Администрации Томской области от 24 октября 2018 г.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</si>
  <si>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01.01.2019, не установлен</t>
  </si>
  <si>
    <t>(209 533)</t>
  </si>
  <si>
    <t>(209 530)</t>
  </si>
  <si>
    <t>(209 531)</t>
  </si>
  <si>
    <t>(209 532)</t>
  </si>
  <si>
    <t>(309 701)</t>
  </si>
  <si>
    <t>1898 (309 572)</t>
  </si>
  <si>
    <t>2317</t>
  </si>
  <si>
    <t>1.6.4.2.17. создание условий для организации досуга и обеспечения жителей городского и сельского поселения услугами организаций культуры</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</si>
  <si>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 (в редакции от 31.05.2018 № 34, от 28.08.2018 № 65, от 24.04.2019 № 38)</t>
  </si>
  <si>
    <t>(221 521)</t>
  </si>
  <si>
    <t>1.6.4.2.31. организация ритуальных услуг и содержание мест захоронения</t>
  </si>
  <si>
    <t>2331</t>
  </si>
  <si>
    <t>(209 524)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</si>
  <si>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</si>
  <si>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1.6.4.2.18. сохранение, использование и популяризация объектов культурного наследия (памятников истории и культуры), находящихся в собственности городского 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и сельского поселения</t>
  </si>
  <si>
    <t>2318</t>
  </si>
  <si>
    <t>(208 526)</t>
  </si>
  <si>
    <t>31.07.2019, не установлен</t>
  </si>
  <si>
    <t>1.6.4.2.24. участие в организации деятельности по сбору (в том числе раздельному сбору) и транспортированию твердых коммунальных отходов</t>
  </si>
  <si>
    <t>Постановление Администрации Колпашевского района от 22.11.2018 № 1261 "Об утверждении Порядка организации регулярных перевозок автомобильным транспортом в границах одного сельского поселения, в границах двух и более поселений муниципального образования "Колпашевский район"</t>
  </si>
  <si>
    <t>22.11.2018, не установлен</t>
  </si>
  <si>
    <t>раздел IV Положения</t>
  </si>
  <si>
    <t>18.07.2019, не установлен</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</si>
  <si>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 (в редакции от 13.03.2014 № 221, от 14.08.2019 № 928)</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</si>
  <si>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 от 21.08.2019 № 945)</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</si>
  <si>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</si>
  <si>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1.6.2.47.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</si>
  <si>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1036</t>
  </si>
  <si>
    <t>13.07.2010, не установлен</t>
  </si>
  <si>
    <t>1854 (691)</t>
  </si>
  <si>
    <t>(100 309)</t>
  </si>
  <si>
    <t xml:space="preserve">1.6.4.2.7.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водного транспорта) </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</si>
  <si>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от 25.11.2019 № 132)
</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</si>
  <si>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 от 18.12.2018 № 121, от 25.11.2019 № 133)</t>
  </si>
  <si>
    <t>Постановление Администрации Колпашевского района от 06.05.2019 № 448 "О порядке распределения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29.11.2019 № 1340)</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</si>
  <si>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</si>
  <si>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0705</t>
  </si>
  <si>
    <t>1219</t>
  </si>
  <si>
    <t>2347</t>
  </si>
  <si>
    <t>2349</t>
  </si>
  <si>
    <t>2324</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</si>
  <si>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t>
  </si>
  <si>
    <t>1.1.1.20.4. МП "Обеспечение безопасности  населения Колпашевского района"</t>
  </si>
  <si>
    <t>1.1.1.20.5. МП "Развитие муниципальной системы образования в Колпашевском районе"</t>
  </si>
  <si>
    <t>(311 556)</t>
  </si>
  <si>
    <t>(312 562) (311 556)</t>
  </si>
  <si>
    <t>(100 306)</t>
  </si>
  <si>
    <t>1.1.1.84. создание условий для развития сельскохозяйственного производства в поселениях в сфере рыбоводства и рыболовства</t>
  </si>
  <si>
    <t>1086 (206 507)</t>
  </si>
  <si>
    <t>(209 516)</t>
  </si>
  <si>
    <t>(208 510)</t>
  </si>
  <si>
    <t>1086</t>
  </si>
  <si>
    <t>01.01.2020, не указан</t>
  </si>
  <si>
    <t>31.01.2020- 31.12.2020</t>
  </si>
  <si>
    <t>31.01.2020, не установлен</t>
  </si>
  <si>
    <t>01.01.2020, не установлен</t>
  </si>
  <si>
    <t>Постановление Администрации Томской области от 26.09.2019 N 340а "Об утверждении государственной программы "Развитие транспортной системы в Томской области"</t>
  </si>
  <si>
    <t>Постановление Администрации Томской области от 27.09.2019 N 342а "Об утверждении государственной программы "Развитие образования в Томской области"</t>
  </si>
  <si>
    <t>Постановление Администрации Томской области от 27.09.2019 N 361а "Об утверждении государственной программы "Социальная поддержка населения Томской области"</t>
  </si>
  <si>
    <t>Подпрограмма 4</t>
  </si>
  <si>
    <t>Постановление Администрации Томской области от 27.09.2019 № 347а "Об утверждении государственной программы "Развитие культуры и туризма в Томской области"</t>
  </si>
  <si>
    <t>Прил. № 4</t>
  </si>
  <si>
    <t>Прил. № 3</t>
  </si>
  <si>
    <t>Постановление Администрации Колпашевского района от 07.02.2018 № 93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25.05.2018 № 449, от 08.02.2019 № 115, от 19.03.2019 № 250, от 19.12.2019 № 1454)</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</si>
  <si>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</si>
  <si>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Подпрограмма 1, соотв. Порядок</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</si>
  <si>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</si>
  <si>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Прил. № 8 подпр 2</t>
  </si>
  <si>
    <t>Прил. к подпр 1</t>
  </si>
  <si>
    <t>Прил. № 5 к подпр 2</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</si>
  <si>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 от 18.12.2019 № 142, от 26.02.2020 № 27)</t>
  </si>
  <si>
    <t>Прил, № 5</t>
  </si>
  <si>
    <t>Решение Думы Колпашевского района от 18.12.2019 № 141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</si>
  <si>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 от 18.12.2019 № 143)</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</si>
  <si>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 (в редакции от 28.06.2016 № 54, 25.09.2019 № 99)</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</si>
  <si>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</si>
  <si>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Постановление Администрации Томской области от 25.09.2019 № 337а "Об утверждении государственной программы "Жилье и городская среда Томской области"</t>
  </si>
  <si>
    <t>Подпр.1 прил.1 прил.2</t>
  </si>
  <si>
    <t>Постановление Администрации Томской области от 26.09.2019 N 338а "Об утверждении государственной программы "Развитие сельского хозяйства, рынков сырья и продовольствия в Томской области"</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</si>
  <si>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t>
  </si>
  <si>
    <t>Прил 6</t>
  </si>
  <si>
    <t>01.08.2013- 31.12.2025</t>
  </si>
  <si>
    <t>ст. 1-2</t>
  </si>
  <si>
    <t>п. 44.2) ст. 26.3.</t>
  </si>
  <si>
    <t>19.10.1999,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</si>
  <si>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</si>
  <si>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редакции от 18.03.2015 № 307)</t>
  </si>
  <si>
    <t>Постановление Администрации Томской области от 26.09.2019 года № 339а «Об утверждении государственной программы «Улучшение инвестиционного климата и развитие экспорта Томской области»</t>
  </si>
  <si>
    <t>Подпр.3
прил. 1</t>
  </si>
  <si>
    <t>Прил.2</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</si>
  <si>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</si>
  <si>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Подпр.2
прил.1</t>
  </si>
  <si>
    <t>Подпр.1
прил.2</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</si>
  <si>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</si>
  <si>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Подпр.2 Прил.8</t>
  </si>
  <si>
    <t>01.01.2020- 31.12.2024</t>
  </si>
  <si>
    <t>Постановление Администрации томской области от 26.09.2019 № 338а "Об утверждении государственной программы "Развитие сельского хозяйства, рынков сырья и продовольствия в Томской области"</t>
  </si>
  <si>
    <t>Прил. к подпр.1</t>
  </si>
  <si>
    <t>01.01.2020-31.12.2024</t>
  </si>
  <si>
    <t>(100 323) (100 308)</t>
  </si>
  <si>
    <t>Решение Думы Колпашевского района от 26.02.2020 № 25 "О предоставлении иных межбюджетных трансфертов бюджету муниципального образования "Колпашевское городское поселение" на приобретение и монтаж звукового оборудования для обеспечения звукового сопровождения мероприятий в г.Колпашево"</t>
  </si>
  <si>
    <t>26.02.2020- 25.12.2020</t>
  </si>
  <si>
    <t>Постановление Администрации Томской области от 25.09.2019 N 337а "Об утверждении государственной программы "Жилье и городская среда Томской области"</t>
  </si>
  <si>
    <t>Подпр. 1 прил.1</t>
  </si>
  <si>
    <t>18.03.2020- 31.12.2020</t>
  </si>
  <si>
    <t>1226</t>
  </si>
  <si>
    <t>1085</t>
  </si>
  <si>
    <t>1.4.1.30. осуществление полномочий по проведению Всероссийской переписи населения 2020 года</t>
  </si>
  <si>
    <t>1731 (303 506)</t>
  </si>
  <si>
    <t>1.4.2.7.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</si>
  <si>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</si>
  <si>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</si>
  <si>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2001 (309 569, 309 588)</t>
  </si>
  <si>
    <t>2002 (309 569, 309 588)</t>
  </si>
  <si>
    <t>2106 (584)</t>
  </si>
  <si>
    <t>2107 (552, 563, 582)</t>
  </si>
  <si>
    <t>16.04.2020, не установлен</t>
  </si>
  <si>
    <t>Решение Думы Колпашевского района от 31.01.2020 № 7 "О предоставлении иных межбюджетных трансфертов на приобретение нежилого здания в п.Большая Саровка Саровского сельского поселения Колпашевского района"</t>
  </si>
  <si>
    <t>(100 323)</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</si>
  <si>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 449)</t>
  </si>
  <si>
    <t>Постановление Администрации Колпашевского района от 25.05.2020 № 515 "О перечислении иных межбюджетных трансфертов Новоселовскому сельскому поселению на исполнение судебного акта"</t>
  </si>
  <si>
    <t>25.05.2020- 31.12.2020</t>
  </si>
  <si>
    <t>(409 611)</t>
  </si>
  <si>
    <t>(210 501)</t>
  </si>
  <si>
    <t>(210 618)</t>
  </si>
  <si>
    <t>1059</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</si>
  <si>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 от 26.02.2018 № 6, от 22.06.2020 № 68)</t>
  </si>
  <si>
    <t>Постановление Администрации Колпашевского района от 14.07.2020 № 729 "О порядке расходования средств субсидии из областного бюджета Томской области, а также средств бюджета муниципального образования "Колпашевский район" на государственную поддержку отрасли культуры в 2020 году"</t>
  </si>
  <si>
    <t>пп.1.1. п.1</t>
  </si>
  <si>
    <t>14.07.2020-31.12.2020</t>
  </si>
  <si>
    <t>(209 575)</t>
  </si>
  <si>
    <t>(209 576)</t>
  </si>
  <si>
    <t>(100 335)</t>
  </si>
  <si>
    <t>2318 (100 340)</t>
  </si>
  <si>
    <t>Решение Думы Колпашевского района от 26.12.2007 № 401 "О порядке расходования средств местного бюджета на финансирование проведения муниципальных выборов" (в редакции от 29.07.2020 № 80)</t>
  </si>
  <si>
    <t>Решение Думы Колпашевского района от 29.07.2020 № 81 "О предоставлении иного межбюджетного трансферта бюджету муниципального образования "Саровское сельское поселение" на проведение ремонта памятника воинам-землякам, погибшим в годы Великой Отечественной войны"</t>
  </si>
  <si>
    <t>11.08.2020- 31.12.2020</t>
  </si>
  <si>
    <t>11.08.2020, не установлен</t>
  </si>
  <si>
    <t>Постановление Администрации Колпашевского района от 27.08.2020 № 919 "О порядке и сроках расходования средств субсидии из областного бюджета местным бюджетам в Томской области на реализацию мероприятий по развитию рыбохозяйственного комплекса"</t>
  </si>
  <si>
    <t>27.08.2020- 31.12.2020</t>
  </si>
  <si>
    <t>29.07.2020- 01.10.2020</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</si>
  <si>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(в редакции от 25.11.2019 № 121, от 12.10.2020 № 7)</t>
  </si>
  <si>
    <t>1.6.4.2.53. Средства резервных фондов администраций муниципальных образований для финансирования непредвиденных расходов</t>
  </si>
  <si>
    <t>2353 (499 720)</t>
  </si>
  <si>
    <t>Постановление Администрации Томской области от 30.10.2020 N 703-ра "Об использовании бюджетных ассигнований резервного фонда финансирования непредвиденных расходов Администрации Томской области"</t>
  </si>
  <si>
    <t>03.09.2020- 31.12.2020</t>
  </si>
  <si>
    <t>Постановление Администрации Колпашевского района от 30.06.2010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449)</t>
  </si>
  <si>
    <t>Решение Думы Колпашевского района от 23.11.2020 № 20 "О предоставлении иного межбюджетного трансферта бюджету муниципального образования "Колпашевское городское поселение" на оплату командировочных расходов победителям конкурса на звание "Лучший муниципальный служащий в Томской области" в 2019 году"</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</si>
  <si>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 от 12.10.2020 № 10)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</si>
  <si>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 от 23.11.2020 № 31)</t>
  </si>
  <si>
    <t>(499 721)</t>
  </si>
  <si>
    <t>п.8 ст.2</t>
  </si>
  <si>
    <t>Закон Томской области от 15.09.2020 № 114-ОЗ "О наделении органов местного самоуправления муниципальных районов Томской области отдельными государственными полномочиями по расчету и предоставлению бюджетам поселений субвенций на осуществление полномочий по первичному воинскому учету на территориях, где отсутствуют военные комиссариаты"</t>
  </si>
  <si>
    <t>Федеральный закон от 13.07.2015 г.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</si>
  <si>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п. 1 ст. 15</t>
  </si>
  <si>
    <t>13.07.2020, не установлен</t>
  </si>
  <si>
    <t>13.07.2015, не установлен</t>
  </si>
  <si>
    <t>2023</t>
  </si>
  <si>
    <t>1.1.1.18.4. стипендии Губернатора Томской области молодым учителям МОУ Томской области</t>
  </si>
  <si>
    <t>1.1.1.19.6. Иной межбюджетный трансферт, имеющий целевое назначение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</si>
  <si>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1.6.4.2.4.1.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</si>
  <si>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1.6.4.2.4.2. Субсидия из областного бюджета на выполнение полномочий органов местного самоуправления по осуществлению дорожной деятельности в части капитального ремонта и (или) ремонта автомобильных дорог общего пользования местного значения в границах муниципального образования (в том числе на обустройство пешеходных переходов в соответствии с национальными стандартами и ремонт пешеходных дорожек) в рамках государственной программы "Развитие транспортной системы в Томской области"</t>
  </si>
  <si>
    <t>(209 577)</t>
  </si>
  <si>
    <t>(222 561)</t>
  </si>
  <si>
    <t>(222 573)</t>
  </si>
  <si>
    <t>(208 615)</t>
  </si>
  <si>
    <t>(208 660)</t>
  </si>
  <si>
    <t>(227 604)</t>
  </si>
  <si>
    <t>(227 600)</t>
  </si>
  <si>
    <t>п. 2</t>
  </si>
  <si>
    <t>1712 (311 663)</t>
  </si>
  <si>
    <t>(100 301)</t>
  </si>
  <si>
    <t>1.6.4.2.5.1. Иной межбюджетный трансферт на ремонт муниципального жилья</t>
  </si>
  <si>
    <t>(100 303)</t>
  </si>
  <si>
    <t>20.01.2021, не установлен</t>
  </si>
  <si>
    <t>Решение Думы Колпашевского района от 31.01.2020 № 16 "О порядке предоставления иных межбюджетных трансфертов из бюджета муниципального образования "Колпашевский район" бюджетам поселений Колпашевского района на исполнение судебных актов по обеспечению жилыми помещениями детей - сирот и детей, оставшихся без попечения родителей, а также лиц из их числа" (в редакции от 25.01.2021 № 15)</t>
  </si>
  <si>
    <t>Постановление Администрации Томской области от 14.08.2020 N 402а "Об утверждении Правил предоставления и Методики распределения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t>
  </si>
  <si>
    <t>28.08.2020, не установлен</t>
  </si>
  <si>
    <t>25.01.2021, не установлен</t>
  </si>
  <si>
    <t>Постановление Администрации Томской области от 04.03.2009 № 40а "Об утверждении Порядка расходования местными бюджетами субвенций из областного бюджета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t>
  </si>
  <si>
    <t>Постановление Администрации Колпашевского района от 29.01.2021 № 134 "Об установлении расходного обязательства муниципального образования "Колпашевский район" на осуществление переданных отдельных государственных полномочий по подготовке и проведению на территории Томской области Всероссийской переписи населения 2020 года"</t>
  </si>
  <si>
    <t>29.01.2021 в период действия ЗТО от 07.04.2020 № 24-ОЗ</t>
  </si>
  <si>
    <t>Закон Томской области от 07.04.2020 № 24-ОЗ "О наделении органов местного самоуправления отдельными государственными полномочиями по подготовке и проведению на территории Томской области Всероссийской переписи населения 2020 года"</t>
  </si>
  <si>
    <t>20.04.2020- 31.12.2021</t>
  </si>
  <si>
    <t>Постановление Администрации Колпашевского района от 26.01.2021 № 96 "О порядке расходования в 2021 году средств субсидии из областного бюджета бюджету муниципального образования "Колпашевский район" на создание и модернизацию объектов спортивной инфраструктуры для занятий физической культурой и спортом в рамках регионального проекта "Спорт - норма жизни" государственной программы "Развитие молодежной политики, физической культуры и спорта в Томской области" (Строительство физкультурно-оздоровительного комплекса с универсальным игровым залом для МАУДО "ДЮСШ им. О.Рахматулиной" по ул. Ленина, 52 в г. Колпашево Колпашевского района Томской области)"</t>
  </si>
  <si>
    <t>26.01.2021- 31.12.2021</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</si>
  <si>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</si>
  <si>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Подпр2 Прил. № 1</t>
  </si>
  <si>
    <t>Постановление Администрации Томской области от 27.09.2019 N 347а "Об утверждении государственной программы "Развитие культуры и туризма в Томской области"</t>
  </si>
  <si>
    <t>Подпр.2</t>
  </si>
  <si>
    <t>02.03.2020, не установлен</t>
  </si>
  <si>
    <t>(213 657)</t>
  </si>
  <si>
    <t>(213 658)</t>
  </si>
  <si>
    <t>1055</t>
  </si>
  <si>
    <t>(100 315)</t>
  </si>
  <si>
    <t>(100 308)</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</si>
  <si>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</si>
  <si>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</si>
  <si>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(100 319)</t>
  </si>
  <si>
    <t>(100 317)</t>
  </si>
  <si>
    <t>1.6.4.2.5.2. исполнение судебных актов</t>
  </si>
  <si>
    <t>1.1.1.18.6. Субсидия на обеспечение образовательных организаций материально-технической базой для внедрения цифровой образовательной среды</t>
  </si>
  <si>
    <t>Постановление Администрации Колпашевского района от 19.03.2021 № 333 "О порядке и сроках расходования средств субсидии на обеспечение образовательных организаций материально-технической базой для внедрения цифровой образовательной среды"</t>
  </si>
  <si>
    <t>1.1.1.19.5. Субсидия на обеспечение образовательных организаций материально-технической базой для внедрения цифровой образовательной среды</t>
  </si>
  <si>
    <t>(210 500)</t>
  </si>
  <si>
    <t>Всего</t>
  </si>
  <si>
    <t>570</t>
  </si>
  <si>
    <t>612</t>
  </si>
  <si>
    <t>МП Безопасность</t>
  </si>
  <si>
    <t>503</t>
  </si>
  <si>
    <t>577</t>
  </si>
  <si>
    <t>702</t>
  </si>
  <si>
    <t>Гор питание нач.</t>
  </si>
  <si>
    <t>575</t>
  </si>
  <si>
    <t>576</t>
  </si>
  <si>
    <t>611</t>
  </si>
  <si>
    <t>532</t>
  </si>
  <si>
    <t>533</t>
  </si>
  <si>
    <t>616</t>
  </si>
  <si>
    <t>515</t>
  </si>
  <si>
    <t>516</t>
  </si>
  <si>
    <t>524</t>
  </si>
  <si>
    <t>530</t>
  </si>
  <si>
    <t>531</t>
  </si>
  <si>
    <t>МП Развитие системы образования</t>
  </si>
  <si>
    <t>осн деятельность</t>
  </si>
  <si>
    <t>тек.ремонт</t>
  </si>
  <si>
    <t>питание малоим</t>
  </si>
  <si>
    <t>рез фонд ТО</t>
  </si>
  <si>
    <t>16.04.2021- 31.12.2021</t>
  </si>
  <si>
    <t>Постановление Главы Колпашевского района от 19.04.2021 № 31 "О порядке и сроках расходования бюджетных ассигнований резервного фонда финансирования непредвиденных расходов Администрации Томской области"</t>
  </si>
  <si>
    <t>19.04.2021- 01.12.2021</t>
  </si>
  <si>
    <t>(221 523)</t>
  </si>
  <si>
    <t>Постановление Администрации Колпашевского района от 29.04.2021 № 514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«Центр культуры и досуга» субсидии на иные цели из бюджета муниципального образования «Колпашевский район» за счет средств резервного фонда финансирования непредвиденных расходов Администрации Томской области"</t>
  </si>
  <si>
    <t>29.04.2021- 31.12.2021</t>
  </si>
  <si>
    <t>1.6.4.2.5. обеспечение проживающих в городского и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</si>
  <si>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</si>
  <si>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</si>
  <si>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</si>
  <si>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</si>
  <si>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</si>
  <si>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</si>
  <si>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1.1.1.19.организация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</si>
  <si>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</si>
  <si>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1.1.1.24.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</si>
  <si>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1.1.1.53. организация в соответствии с федеральным законом выполнения комплексных кадастровых работ и утверждение карты-плана территории</t>
  </si>
  <si>
    <t>1.1.1.57.обеспечение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</si>
  <si>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1.1.1.83. участие в соответствии с федеральным законом в выполнении комплексных кадастровых работ</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</si>
  <si>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</si>
  <si>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1.2.21.установление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</si>
  <si>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</si>
  <si>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</si>
  <si>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</si>
  <si>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1.4.1.2.по составлению (изменению) списков кандидатов в присяжные заседатели</t>
  </si>
  <si>
    <t>1.4.2.5.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</si>
  <si>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</si>
  <si>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1.6.Расходные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</si>
  <si>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1.1.1.18.5. Субсидия на 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</si>
  <si>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</si>
  <si>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1228</t>
  </si>
  <si>
    <t>1227</t>
  </si>
  <si>
    <t>1224</t>
  </si>
  <si>
    <t xml:space="preserve">1.6.4.2.8.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автомобильного транспорта) </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</si>
  <si>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 от 28.08.2018 № 63, от 30.06.2021 № 73)</t>
  </si>
  <si>
    <t>1.1.2.46. осуществление мер по противодействию коррупции в границах  поселения</t>
  </si>
  <si>
    <t>(410 607)</t>
  </si>
  <si>
    <t>1146</t>
  </si>
  <si>
    <t>Постановление Администрации Колпашевского района от 18.07.2019 № 772 "Об утверждении Положения об организации отдыха детей в каникулярное время на территории муниципального образования "Колпашевский район" (в редакции от 15.07.2021 № 875)</t>
  </si>
  <si>
    <t>Постановление Администрации Колпашевского района от 28.07.2021 № 901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"Библиотека" субсидии на иные цели из бюджета муниципального образования "Колпашевский район" за счёт средств резервного фонда финансирования непредвиденных расходов Администрации Томской области"</t>
  </si>
  <si>
    <t>28.07.2021- 31.10.2021</t>
  </si>
  <si>
    <t>Постановление Администрации Колпашевского района от 28.07.2021 № 902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"Центр культуры и досуга" субсидии на иные цели из бюджета муниципального образования "Колпашевский район" за счёт средств резервного фонда финансирования непредвиденных расходов Администрации Томской области"</t>
  </si>
  <si>
    <t>Постановление Администрации Колпашевского района от 30.07.2021 № 912 "О порядке и сроках расходования средств субсидии бюджету муниципального образования Томской области из областного бюджета на государственную поддержку лучших сельских учреждений и лучших работников сельских учреждений культуры (государственная поддержка отрасли культуры)"</t>
  </si>
  <si>
    <t>30.07.2021- 15.12.2021</t>
  </si>
  <si>
    <t>30.07.2021- 31.12.2021</t>
  </si>
  <si>
    <t>10.08.2021, не установлен</t>
  </si>
  <si>
    <t>Постановление Главы Колпашевского района от 11.08.2021 № 99 "О порядке и сроках расходования бюджетных ассигнований резервного фонда финансирования непредвиденных расходов Администрации Томской области" (РАТО от 30.07.2021 № 437-ра)</t>
  </si>
  <si>
    <t>11.08.2021- 31.12.2021</t>
  </si>
  <si>
    <t>06.09.2021- 31.12.2021</t>
  </si>
  <si>
    <t>(499 723)</t>
  </si>
  <si>
    <t>(410 608)</t>
  </si>
  <si>
    <t>(499 722)</t>
  </si>
  <si>
    <t>Постановление Главы Колпашевского района от 08.10.2021 № 119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на оплату расходов, связанных с приобретением ручных металлодетекторов в целях обеспечения безопасности образовательных организаций" (распоряжение АТО от 03.09.2021 № 510-ра)</t>
  </si>
  <si>
    <t>08.10.2021- 01.12.2021</t>
  </si>
  <si>
    <t>11.10.2021- 31.12.2021</t>
  </si>
  <si>
    <t>(210 620)</t>
  </si>
  <si>
    <t>(210 621)</t>
  </si>
  <si>
    <t>Решение Думы Колпашевского района от 23.11.2020 № 21 "О принятии муниципальным образованием "Колпашевский район" осуществления части полномочий по решению вопроса местного значения "Осуществление мер по противодействию коррупции в границах поселения"</t>
  </si>
  <si>
    <t>01.01.2021- 31.12.2025</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</si>
  <si>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 от 21.01.2017 № 120, от 27.10.2017 № 1134, от 09.10.2018 № 1072, от 05.12.2018 № 1306, от 02.04.2020 № 350, от 15.07.2020 № 733, от 24.12.2020 № 1410, от 26.01.2021 № 97, 21.04.2021 № 484)</t>
  </si>
  <si>
    <t>Постановление Администрации Томской области от 24.06.2014 № 244а «Об установлении Правил предоставления и методики распределения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</si>
  <si>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Постановление Администрации Колпашевского района от 26.05.2021 № 638 "О порядке расходования средств субсидии из бюджета Томской области на сздание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</si>
  <si>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Постановление Администрации Томской области от 29.12.2017 № 482а "Об утверждении Порядка предоставления субвенций местным бюджетам из областного бюджета на осуществление отдельных государственных полномочий по государственной поддержке сельскохозяйственного производства"</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</si>
  <si>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от 26.04.2021 № 48, от 30.06.2021 № 74, от 30.07.2021 № 86)
</t>
  </si>
  <si>
    <t>Постановление Администрации Колпашевского района от 18.19.2018 № 994 "Об утверждении порядка компенсации расходов по оплате найма жилого помещения" (в редакции от 27.06.2019 № 685, от 20.08.2021 № 1018)</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</si>
  <si>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1116, от 28.01.2020 № 70, от 21.05.2021 № 611, от 20.08.2021 № 1019)</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</si>
  <si>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09.02.2015 № 18, от 15.09.2016 № 217, от 04.10.2016 № 233, от 09.02.2017 № 20, от 02.06.2017 № 96, от 30.01.2018 № 16, от 11.02.2019 № 28, от 23.10.2019 № 201, от 02.07.2020 № 75, от 16.03.2021 № 16)</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</si>
  <si>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от 26.04.2021 № 48, от 30.06.2021 № 74,от 30.07.2021 № 86)</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</si>
  <si>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 от 25.11.2019 № 124, от 26.08.2020 № 104, от 25.10.2021 № 138)</t>
  </si>
  <si>
    <t>Постановление Администрации Колпашевского района от 11.08.2020 № 844 "Об утверждении порядка предоставления субсидий юридическим лицам и индивидуальным предпринимателям, осуществляющим промышленное рыболовство, на финансовое обеспечение затрат, связанных с приобретением маломерных судов, лодочных моторов, орудий лова для добычи (вылова) водных биоресурсов, холодильного оборудования, льдогенераторов" (отменен ПАКР от 17.05.2021 № 578)</t>
  </si>
  <si>
    <t>Постановление Администрации Колпашевского района от 11.08.2020 № 840 "О порядке и сроках расходования средств субсидии из областного бюджета на внедрение и функционирование целевой модели цифровой образовательной среды в общеобразовательных организациях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внедрение и функционирование целевой модели цифровой образовательной среды в общеобразовательных организациях" (отменено ПАКР от 22.01.2021 № 76)</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</si>
  <si>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 от 26.02.2020 № 32, от 29.04.2020 № 43)</t>
  </si>
  <si>
    <t>Постановление Администрации Колпашевского района от 05.05.2012 № 425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источником финансирования которых является резервный фонд Администрации Колпашевского район" (в редакции от 25.08.2015 № 826)</t>
  </si>
  <si>
    <t>Постановление Администрации Колпашевского района от 20.01.2021 № 52 "О финансировании мероприятий по укреплению общественного здоровья населения Колпашевского района"</t>
  </si>
  <si>
    <t>23.11.2020- 25.12.2020</t>
  </si>
  <si>
    <t>Решение Думы Колпашевского района от 30.07.2021 № 94 "О расходовании средств бюджета муниципального образования "Колпашевский район" на оказание содействия избирательным комиссиям Колпашевского района в реализации их полномочий при подготовке и проведении выборов депутатов Государственной Думы Федерального Собрания Российской Федерации восьмого созыва"</t>
  </si>
  <si>
    <t>Постановление Администрации Колпашевского района от 06.09.2021 № 1061 "О порядке и сроке расходования средств иных межбюджетных трансфертов на создание модельных муниципальных библиотек"</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</si>
  <si>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</si>
  <si>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Постановление Администрации Колпашевского района от 10.08.2021 № 948 "О порядке и сроках расходования средств субсидии на обеспечение организации отдыха детей в каникулярное время"</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</si>
  <si>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 от 25.11.2019 № 124, от 26.08.2020 № 104, от 25.10.2021 № 138)</t>
  </si>
  <si>
    <t>Постановление Главы Колпашевского района от 19.09.2021 № 111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06.08.2021 № 227-р-в) (в редакции от 02.12.2021 № 139)</t>
  </si>
  <si>
    <t>19.09.2021- 17.12.2021</t>
  </si>
  <si>
    <t>Постановление Главы Колпашевского района от 10.12.2021 № 145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(распоряжение АТО от 07.12.2021 № 745-ра)</t>
  </si>
  <si>
    <t>10.12.2021- 01.10.2022</t>
  </si>
  <si>
    <t>(499 725)</t>
  </si>
  <si>
    <t>(499 727)</t>
  </si>
  <si>
    <t>(499 726)</t>
  </si>
  <si>
    <t>Постановление Главы Колпашевского района от 23.12.2021 № 154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муниципальному автономному учреждению дополнительного образования "Детско-спортивная школа имени О.Рахматулиной" на приобретение спортивного оборудования и укрепление материально-технической базы" (распоряжение АТО от 06.12.2021 № 384-р-в)</t>
  </si>
  <si>
    <t>23.12.2021- 01.10.2022</t>
  </si>
  <si>
    <t>24.12.2021- 01.10.2022</t>
  </si>
  <si>
    <t>(499 724)</t>
  </si>
  <si>
    <t>01.01.2022- 31.12.2027</t>
  </si>
  <si>
    <t>1.1.1.18.7. Субсидия на внедрение и функционирование целевой модели цифровой образовательной среды в общеобразовательных организациях</t>
  </si>
  <si>
    <t>1.1.1.18.8.Иной межбюджетный трансферт, имеющий целевое назначение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</si>
  <si>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01.01.2021- 31.12.2026</t>
  </si>
  <si>
    <t>1.6.4.2.24.3. Иной межбюджетный трансферт на ликвидацию мест несанкционированного размещения твердых коммунальных отходов</t>
  </si>
  <si>
    <t>1.6.4.2.26.1.1. Иные межбюджетные трансферты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2024 гг.</t>
  </si>
  <si>
    <t>1.6.4.2.26.1.3. Иной межбюджетный трансферт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t>
  </si>
  <si>
    <t>Постановление Администрации Томской области от 27 сентября 2019 г. N 342а
"Об утверждении государственной программы "Развитие образования в Томской области"</t>
  </si>
  <si>
    <t>подпрограмма 1 "Развитие дошкольного, общего и дополнительного образования в Томской области"</t>
  </si>
  <si>
    <t>1.1.</t>
  </si>
  <si>
    <t>ПРИЛОЖЕНИЕ 1
Порядок предоставления и распределения субсидий бюджетам муниципальных образований Томской области на организацию предоставления общедоступного бесплатного дошкольного образования путем предоставления денежной выплаты родителям (законным представителям) детей, осваивающих образовательную программу дошкольного образования и получающих услуги по присмотру и уходу в организациях, осуществляющих обучение, частных образовательных организациях, у индивидуальных предпринимателей, в целях возмещения затрат за присмотр и уход</t>
  </si>
  <si>
    <t>ПРИЛОЖЕНИЕ 2
Порядок предоставления и распределения субсидий бюджетам муниципальных образований Томской области на стимулирующие выплаты в муниципальных организациях дополнительного образования Томской области</t>
  </si>
  <si>
    <t>ПРИЛОЖЕНИЕ 3
Порядок предоставления и распределения субсидий бюджетам муниципальных образований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части обеспечения расходов на содержание зданий, оплаты коммунальных услуг и прочих расходов, не связанных с обеспечением реализации основных общеобразовательных программ, за исключением расходов на капитальный ремонт, в муниципальных общеобразовательных организациях,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t>
  </si>
  <si>
    <t>ПРИЛОЖЕНИЕ 6
Порядок предоставления и распределения субсидий бюджетам муниципальных образований Томской области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t>
  </si>
  <si>
    <t>ПРИЛОЖЕНИЕ 4
Порядок предоставления и распределения субсидий бюджетам муниципальных образований Томской области на приобретение учебно-методических комплектов в 2020 году для поэтапного введения федеральных государственных образовательных стандартов</t>
  </si>
  <si>
    <t>ПРИЛОЖЕНИЕ 5
Порядок предоставления и распределения субсидий бюджетам муниципальных образований Томской области на предоставление компенсации родителям (законным представителям) части затрат за содержание детей в группах по присмотру и уходу за детьми</t>
  </si>
  <si>
    <t>ПРИЛОЖЕНИЕ 7
Порядок предоставления и распределения субсидий бюджетам муниципальных образований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</si>
  <si>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ПРИЛОЖЕНИЕ 8
Порядок предоставления и распределения субсидий бюджетам муниципальных образований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в Томской области" в части повышения заработной платы работников муниципальных образовательных организаций, занимающих должности среднего медицинского персонала</t>
  </si>
  <si>
    <t>ПРИЛОЖЕНИЕ 9
Порядок предоставления и распределения субсидий бюджетам муниципальных образований Томской области на финансовое обеспечение (возмещение) затрат, связанных с обеспечением получения дошкольного образования у индивидуальных предпринимателей, осуществляющих образовательную деятельность по образовательным программам дошкольного образования</t>
  </si>
  <si>
    <t>ПРИЛОЖЕНИЕ 10
Порядок предоставления и распределения субсидий бюджетам муниципальных образований Томской области на единовременную поддержку организаций (за исключением государственных и муниципальных) и индивидуальных предпринимателей, осуществляющих образовательную деятельность по образовательным программам дошкольного образования и (или) присмотр и уход за детьми в период введения режима "повышенная готовность" в связи с распространением на территории Томской области новой коронавирусной инфекции</t>
  </si>
  <si>
    <t>ПРИЛОЖЕНИЕ 11
Порядок предоставления и распределения субсидий бюджетам муниципальных образований Томской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t>
  </si>
  <si>
    <t>ПРИЛОЖЕНИЕ 12
Порядок предоставления и распределения субсидий местным бюджетам на возмещение затрат, связанных с созданием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</si>
  <si>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Подпрограмма 2 "Развитие инфраструктуры дошкольного, общего и дополнительного образования в Томской области"</t>
  </si>
  <si>
    <t>1.2.</t>
  </si>
  <si>
    <t>ПРИЛОЖЕНИЕ 1
Порядок предоставления и распределения субсидий бюджетам муниципальных образований Томской области на создание дополнительных мест во вновь построенных образовательных организациях с использованием механизма государственно-частного партнерства в рамках государственной программы "Развитие образования в Томской области"</t>
  </si>
  <si>
    <t>ПРИЛОЖЕНИЕ 2
Порядок предоставления и распределения субсидий бюджетам муниципальных образований на приобретение автотранспортных средств в муниципальные общеобразовательные организации</t>
  </si>
  <si>
    <t>ПРИЛОЖЕНИЕ 4
Порядок предоставления и распределения субсидий из областного бюджета бюджетам муниципальных образований Томской области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</si>
  <si>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ПРИЛОЖЕНИЕ 5
Порядок предоставления и распределения субсидий из областного бюджета бюджетам муниципальных образований Томской области на обеспечение антитеррористической защиты объектов образования, выполнение мероприятий противодействия деструктивным идеологиям, модернизацию систем противопожарной защиты</t>
  </si>
  <si>
    <t>ПРИЛОЖЕНИЕ 6
Порядок предоставления и распределения субсидий из областного бюджета бюджетам муниципальных образований Томской области на капитальный ремонт муниципальных общеобразовательных организаций (включая разработку проектной документации)</t>
  </si>
  <si>
    <t>ПРИЛОЖЕНИЕ 7
Порядок предоставления и распределения субсидий из областного бюджета бюджетам муниципальных образований Томской области на капитальный ремонт муниципальных дошкольных образовательных организаций (включая разработку проектной документации)</t>
  </si>
  <si>
    <t>1.3.</t>
  </si>
  <si>
    <t>Приложения к государственной программе "Развитие образования в Томской области"</t>
  </si>
  <si>
    <t>ПРИЛОЖЕНИЕ 1
Порядок предоставления и распределения субсидий бюджетам муниципальных образований Томской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t>
  </si>
  <si>
    <t>ПРИЛОЖЕНИЕ 2
Порядок предоставления и распределения субсидий бюджетам муниципальных образований Томской области на внедрение и функционирование целевой модели цифровой образовательной среды в муниципальных общеобразовательных организациях в рамках регионального проекта "Цифровая образовательная среда"</t>
  </si>
  <si>
    <t>ПРИЛОЖЕНИЕ 3
Порядок предоставления и распределения субсидий бюджетам муниципальных образований на оснащение зданий средствами обучения и воспитания для размещения общеобразовательных организаций в рамках регионального проекта "Современная школа"</t>
  </si>
  <si>
    <t>ПРИЛОЖЕНИЕ 4
Порядок предоставления и распределения субсидий бюджетам муниципальных образований на создание центров цифрового образования детей в рамках регионального проекта "Цифровая образовательная среда"</t>
  </si>
  <si>
    <t>ПРИЛОЖЕНИЕ 5
Порядок предоставления и распределения субсидий бюджетам муниципальных образований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регионального проекта "Содействие занятости"</t>
  </si>
  <si>
    <t>ПРИЛОЖЕНИЕ 6
Порядок предоставления и распределения субсидий бюджетам муниципальных образований на создание новых мест в общеобразовательных организациях, в рамках регионального проекта "Современная школа"</t>
  </si>
  <si>
    <t>ПРИЛОЖЕНИЕ 7
Порядок предоставления и распределения субсидий бюджетам муниципальных образований на создание новых мест в общеобразовательных организациях, расположенных в сельской местности и поселках городского типа, в рамках регионального проекта "Современная школа"</t>
  </si>
  <si>
    <t>ПРИЛОЖЕНИЕ 8
Порядок предоставления и распределения субсидий бюджетам муниципальных образований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в рамках регионального проекта "Современная школа"</t>
  </si>
  <si>
    <t>ПРИЛОЖЕНИЕ 9
Порядок предоставления и распределения субсидий бюджетам муниципальных образований Томской области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регионального проекта "Современная школа"</t>
  </si>
  <si>
    <t xml:space="preserve">ПРИЛОЖЕНИЕ 10
Порядок предоставления и распределения субсидий бюджетам муниципальных образований Томской области на обеспечение образовательных организаций материально-технической базой для внедрения цифровой образовательной среды в рамках регионального проекта "Цифровая образовательная среда"
</t>
  </si>
  <si>
    <t>ПРИЛОЖЕНИЕ 11
Порядок предоставления и распределения субсидий бюджетам муниципальных образований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</si>
  <si>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ПРИЛОЖЕНИЕ 12
Порядок предоставления и распределения субсидий бюджетам муниципальных образований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регионального проекта "Успех каждого ребенка"</t>
  </si>
  <si>
    <t>ПРИЛОЖЕНИЕ 13
Порядок предоставления и распределения субсидий бюджетам муниципальных образований на оснащение зданий для размещения общеобразовательных организаций оборудованием, предусмотренным проектной документацией, в рамках регионального проекта "Современная школа"</t>
  </si>
  <si>
    <t>ПРИЛОЖЕНИЕ 14
Порядок предоставления и распределения субсидий бюджетам муниципальных образований на разработку проектной документации на строительство муниципальных объектов недвижимого имущества в сфере общего образования</t>
  </si>
  <si>
    <t>ПРИЛОЖЕНИЕ 15
Порядок предоставления и распределения субсидий местным бюджетам муниципальных образований на оснащение зданий средствами обучения и воспитания для размещения дошкольных образовательных организаций в рамках регионального проекта "Содействие занятости женщин - создание условий дошкольного образования для детей в возрасте до трех лет"</t>
  </si>
  <si>
    <t>ПРИЛОЖЕНИЕ 16
Порядок предоставления и распределения субсидий местным бюджетам на оснащение зданий для размещения дошкольных образовательных организаций оборудованием, средствами обучения и воспитания, предусмотренными проектной документацией, в рамках регионального проекта "Содействие занятости"</t>
  </si>
  <si>
    <t>ПРИЛОЖЕНИЕ 17
Порядок предоставления и распределения субсидий из областного бюджета местным бюджетам на приобретение в муниципальную собственность объектов инженерной инфраструктуры в рамках регионального проекта "Современная школа"</t>
  </si>
  <si>
    <t>ПРИЛОЖЕНИЕ 18
Порядок предоставления и распределения субсидий местным бюджетам на создание новых мест в общеобразовательных организациях в связи с ростом числа обучающихся, вызванным демографическим фактором, в рамках регионального проекта "Современная школа"</t>
  </si>
  <si>
    <t>Постановление Администрации Томской области от 27.09.2019 № 342а "Об утверждении государственной программы "Развитие образования в Томской области"</t>
  </si>
  <si>
    <t>Прил 9</t>
  </si>
  <si>
    <t>Прил 10</t>
  </si>
  <si>
    <t>Прил 2</t>
  </si>
  <si>
    <t>Постановление Администрации Томской области от 06.07.2020 N 317а "Об установлении Правил предоставления и методики распределения иных межбюджетных трансфертов из областного бюджета местным бюджетам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</si>
  <si>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21.07.2020, не установлен</t>
  </si>
  <si>
    <t>Постановление Главы Колпашевского района от 24.12.2021 № 155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муниципальному бюджетному общеобразовательному учреждению "Чажемтовская средняя общеобразовательная школа" Колпашевского района на приобретение спортивного инвентаря" (распоряжение АТО от 26.11.2021 № 369-р-в)</t>
  </si>
  <si>
    <t>прил. 6 подпр.1</t>
  </si>
  <si>
    <t>прил.2 подпр.1</t>
  </si>
  <si>
    <t>21.12.2021- 30.12.2021</t>
  </si>
  <si>
    <t>11.03.2020, не установлен</t>
  </si>
  <si>
    <t>Постановление Администрации Томской области от 20.09.2019 № 328а "Об утверждении государственной программы "Эффективное управление государственным имуществом Томской области"</t>
  </si>
  <si>
    <t>Прил к подпрогр</t>
  </si>
  <si>
    <t>Постановление Главы Колпашевского района от 16.04.2021 № 30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11.03.2021 № 42 р-в) (в редакции от 06.05.2021 № 41)</t>
  </si>
  <si>
    <t>Прил. 5</t>
  </si>
  <si>
    <t>Прил. 4</t>
  </si>
  <si>
    <t>Постановление Администрации Томской области от 25.05.2020 № 240а "Об установлении Методики распределения иных межбюджетных трансфертов из областного бюджета на создание модельных муниципальных библиотек и Правил их предоставления"</t>
  </si>
  <si>
    <t>Постановление Администрации Томской области от 23.11.2020 № 555а "Об установлении методики распределения иных межбюджетных трансфертов из областного бюджета на создание модельных муниципальных библиотек по результатам конкурсного отбора, проводимого Министерством культуры Российской Федерации, и правила их предоставления"</t>
  </si>
  <si>
    <t>28.05.2020, не установлен</t>
  </si>
  <si>
    <t>09.11.2020, не установлен</t>
  </si>
  <si>
    <t>Постановление Администрации Колпашевского района от 11.10.2021 № 1226 "О порядке и сроке расходования средств иного межбюджетного трансферта на создание модельных муниципальных библиотек по результатам конкурсного отбора, проводимого Министерством культуры Российской Федерации, за счёт средств резервного фонда Правительства Российской Федерации"</t>
  </si>
  <si>
    <t>30.01.2015, не установлен</t>
  </si>
  <si>
    <t>Решение Думы Колпашевского района от 23.04.2012 № 43 "О Cчетной палате Колпашевского района" (в редакции от 05.09.2013 № 83, от 16.12.2013 № 119, от 16.12.2013 № 120, от 28.04.2014 № 37, от 02.11.2015 № 10, от 28.06.2017 № 57, от 28.08.2018 № 83, от 28.11.2018 № 114, от 28.02.2019 № 25, от 28.02.2019 № 26, от 23.10.2019 № 110, от 30.09.2021 № 116)</t>
  </si>
  <si>
    <t>Постановление Администрации Колпашевского района от 20.11.2015 № 1176 "Об утверждении положения о единой дежурно-диспетчерской службе Колпашевского района" (в редакции от 12.01.2022 № 5)</t>
  </si>
  <si>
    <t>Прил 11 подрог 1</t>
  </si>
  <si>
    <t>Постановление Администрации Томской области от 17.03.2020 N 107а "Об утверждении Правил предоставления и Методики распределения иных межбюджетных трансфертов из областного бюджета местным бюджетам на финансовое обеспечение расходных обязательств муниципальных образований по оказанию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</si>
  <si>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30.03.2020, не установлен</t>
  </si>
  <si>
    <t>Постановление Администрации Томской области от 27.09.2019 № 346а "Об утверждении государственной программы "Развитие инфраструктуры в Томской области"</t>
  </si>
  <si>
    <t>Постановление администрации Томской области от 20.09.2019 № 329а "Об утверждении государственной программы "Эффективное управление региональными финансами, государственными закупками и совершенствование межбюджетных отношений в Томской области"</t>
  </si>
  <si>
    <t>п.5 подпр 4</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</si>
  <si>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</si>
  <si>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 1</t>
  </si>
  <si>
    <t>1.1.1.19.4. Субсидия на 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</si>
  <si>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(209 536)</t>
  </si>
  <si>
    <t>25.01.2022-31.12.2022</t>
  </si>
  <si>
    <t>Решение Думы Колпашевского района от 26.01.2022 № 5 "О предоставлении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t>
  </si>
  <si>
    <t>26.01.2022- 28.12.2022</t>
  </si>
  <si>
    <t>26.01.2022- 26.12.2022</t>
  </si>
  <si>
    <t>Решение Думы Колпашевского района от 26.01.2022 № 9 "О предоставлении иного межбюджетного трансферта бюджету муниципального образования "Саровское сельское поселение" на обеспечение деятельности добровольной пожарной команды в д.Тискино Саровского сельского поселения"</t>
  </si>
  <si>
    <t>26.01.2022- 23.12.2022</t>
  </si>
  <si>
    <t>Постановление администрации Колпашевского района от 09.02.2022 № 149 "Об утверждении Положения об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а также дополнительного образования детей, в муниципальных образовательных организациях Колпашевского района"</t>
  </si>
  <si>
    <t>09.02.2022, не установлен</t>
  </si>
  <si>
    <t>(209 527)</t>
  </si>
  <si>
    <t>(209 525)</t>
  </si>
  <si>
    <t>(209 526)</t>
  </si>
  <si>
    <t>28.02.2022-23.12.2022</t>
  </si>
  <si>
    <t>28.02.2022- 28.12.2022</t>
  </si>
  <si>
    <t>28.02.2022-20.12.2022</t>
  </si>
  <si>
    <t>Решение Думы Колпашевского района от 28.02.2022 № 21 "О предоставлении иного межбюджетного трансферта бюджету муниципального образования "Колпашевское городское поселение" на выполнение работ по разработке, внесению изменений в дизайн-проекты и проектно-сметную документацию по объектам благоустройства наиболее посещаемых муниципальных территорий общественного пользования"</t>
  </si>
  <si>
    <t>31.10.2017, не установлен</t>
  </si>
  <si>
    <t>(499 711</t>
  </si>
  <si>
    <t>16.03.2022- 31.12.2023</t>
  </si>
  <si>
    <t>22.03.2022- 31.12.2022</t>
  </si>
  <si>
    <t>Постановление Администрации Колпашевского района от 23.03.2022 № 376 "О порядке и сроке расходования средств субсидии на приобретение оборудования для малобюджетных спортивных площадок по месту жительства и учёбы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 территориальное образование Северск Томской области"</t>
  </si>
  <si>
    <t>Постановление Администрации Колпашевского района от 24.03.2022 № 381 "Об установлении Порядка содержания и ремонта автомобильных дорог местного значения муниципального образования "Колпашевский район"</t>
  </si>
  <si>
    <t>24.03.2022, не установлен</t>
  </si>
  <si>
    <t>Постановление Главы Колпашевского района от 28.03.2022 № 38 "О порядке и сроке расходования бюджетных ассигнований резервного фонда финансирования непредвиденных расходов Администрации Томской области"</t>
  </si>
  <si>
    <t>28.03.2022- 31.12.2022</t>
  </si>
  <si>
    <t>Решение Думы Колпашевского района от 28.03.2022 № 25 "О предоставлении иного межбюджетного трансферта бюджету муниципального образования "Колпашевское городское поселение" на приобретение, доставку и установку оборудования для малобюджетных спортивных площадок по месту жительства и учёбы"</t>
  </si>
  <si>
    <t>28.03.2022- 26.12.2022</t>
  </si>
  <si>
    <t>Решение Думы Колпашевского района от 28.03.2022 № 26 "О предоставлении иного межбюджетного трансферта бюджету муниципального образования "Саровское сельское поселение" на приобретение, доставку и установку оборудования для малобюджетных спортивных площадок по месту жительства и учёбы"</t>
  </si>
  <si>
    <t>Решение Думы Колпашевского района от 28.03.2022 № 27 "О предоставлении иного межбюджетного трансферта бюджету муниципального образования "Колпашевское городское поселение" на возмещение затрат по организации теплоснабжения теплоснабжающими организациями, использующими в качестве основного топлива уголь"</t>
  </si>
  <si>
    <t>Решение Думы Колпашевского района от 28.03.2022 № 29 "О внесении изменений в решение Думы Колпашевского района от 26.01.2022 № 6 "О предоставлении иного межбюджетного трансферта бюджету муниципального образования "Колпашевское городское поселение"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</si>
  <si>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Решение Думы Колпашевского района от 28.02.2022 № 19 "О предоставлении иного межбюджетного трансферта бюджету муниципального образования "Инкинское сельское поселение" на приобретение и доставку оборудования для дизельной электростанции"</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</si>
  <si>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 от 28.03.2022 № 31)</t>
  </si>
  <si>
    <t>06.04.2022, не установлен</t>
  </si>
  <si>
    <t>06.04.2022- 31.12.2022</t>
  </si>
  <si>
    <t>Постановление Администрации Колпашевского района от 13.04.2022 № 475 "О порядке и сроках расходования средств субсидии на внедрение и функционирование целевой модели цифровой образовательной среды в муниципальных общеобразовательных организациях"</t>
  </si>
  <si>
    <t>13.04.2022, не установлен</t>
  </si>
  <si>
    <t>Постановление Администрации Колпашевского района от 21.04.2022 № 544 "О порядке и сроках расходования средств субсидии на улучшение жилищных условий граждан Российской Федерации, проживающих на сельских территориях"</t>
  </si>
  <si>
    <t>21.04.2022- 31.12.2022</t>
  </si>
  <si>
    <t>(209 686)</t>
  </si>
  <si>
    <t>(209 689)</t>
  </si>
  <si>
    <t>(209 682)</t>
  </si>
  <si>
    <t>(209 685)</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</si>
  <si>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</si>
  <si>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</si>
  <si>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 xml:space="preserve">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    </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</si>
  <si>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</si>
  <si>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1.4.2.54.на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</si>
  <si>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1.4.2.98.на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</si>
  <si>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1.6.1.по предоставлению дотаций на выравнивание бюджетной обеспеченности городских, сельских поселений, всего</t>
  </si>
  <si>
    <t>1.6.3.по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</si>
  <si>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1.6.3.1. на осуществление воинского учета на территориях, на которых отсутствуют структурные подразделения военных комиссариатов</t>
  </si>
  <si>
    <t>(100 313)</t>
  </si>
  <si>
    <t>25.04.2022- 31.12.2022</t>
  </si>
  <si>
    <t>Решение Думы Колпашевского района от 25.04.2022 № 36 "О предоставлении иных межбюджетных трансфертов на финансовую поддержку инициативных проектов"</t>
  </si>
  <si>
    <t>пп 1.2.</t>
  </si>
  <si>
    <t>пп 1.1.</t>
  </si>
  <si>
    <t>Решение думы Колпашевского района от 25.04.2022 № 37 "О предоставлении иного межбюджетного трансферта бюджету муниципального образования "Новоселовское сельское поселение" на организацию уличного освещения"</t>
  </si>
  <si>
    <t>25.04.2022- 26.12.2022</t>
  </si>
  <si>
    <t>Решение Думы Колпашевского района от 25.04.2022 № 38 "О предоставлении иного межбюджетного трансферта бюджету муниципального образования "Саровское сельское поселение" на проведение электроизмерительных, электромонтажных работ на объектах теплоснабжения"</t>
  </si>
  <si>
    <t>Постановление Администрации Колпашевского района от 28.04.2022 № 571 "О порядке и сроке расходования субсидии из областного бюджета бюджету муниципального образования «Колпашевский район» на проведение комплексных кадастровых работ"</t>
  </si>
  <si>
    <t>28.04.2022- 31.12.2022</t>
  </si>
  <si>
    <t>28.04.2022, не установлен</t>
  </si>
  <si>
    <t>11.05.2022- 31.12.2023</t>
  </si>
  <si>
    <t xml:space="preserve">проект постановления Администрации Колпашевского района </t>
  </si>
  <si>
    <t>1838 (571)</t>
  </si>
  <si>
    <t>Решение Думы Колпашевского района от 30.05.2022 № 43 "О предоставлении иного межбюджетного трансферта бюджету муниципального образования "Новоселовское сельское поселение" на подготовку спортивных сооружений к проведению XV летней межпоселенческой спартакиады в д.Маракса Новоселовского сельского поселения"</t>
  </si>
  <si>
    <t>30.05.2022- 25.12.2022</t>
  </si>
  <si>
    <t>Решение Думы Колпашевского района от 28.02.2022 № 20 "О предоставлении иных межбюджетных трансфертов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 (в редакции от 30.05.2022 № 47)</t>
  </si>
  <si>
    <t>Ршение Думы Колпашевского района от 30.05.2022 № 49 "О предоставлении иного межбюджетного трансферта бюджету муниципального образования "Колпашевское городское поселение" на благоустройство объекта "Памятный мемориал на территории сквера по адресу: г. Колпашево, ул. М.Горького, 2" (1 этап)"</t>
  </si>
  <si>
    <t>30.05.2022- 26.12.2022</t>
  </si>
  <si>
    <t>Решение Думы Колпашевского района от 30.05.2022 № 50 "О предоставлении иного межбюджетного трансферта бюджету муниципального образования "Колпашевское городское поселение" на ликвидацию мест несанкционированного размещения твёрдых коммунальных отходов"</t>
  </si>
  <si>
    <t>Решение Думы Колпашевского района от 30.05.2022 № 52 "О предоставлении иного межбюджетного трансферта бюджету муниципального образования "Чажемтовское сельское поселение" на компенсацию убытков, сверхнормативных расходов и выпадающих доходов ресурсоснабжающих организаций от эксплуатации объектов водоснабжения"</t>
  </si>
  <si>
    <t>30.05.2022- 20.12.2022</t>
  </si>
  <si>
    <t>Решение Думы Колпашевского района от 30.05.2022 № 54 "О предоставлении иного межбюджетного трансферта бюджету муниципального образования "Инкинское сельское поселение" на осуществление дорожной деятельности в 2022 году"</t>
  </si>
  <si>
    <t>Решение Думы Колпашевского района от 30.05.2022 № 55 "О предоставлении иного межбюджетного трансферта бюджету муниципального образования "Саровское сельское поселение" на обустройство источника противопожарного водоснабжения в п.Большая Саровка Саровского сельского поселения"</t>
  </si>
  <si>
    <t>30.05.2022- 21.12.2022</t>
  </si>
  <si>
    <t>Постановление Главы Колпашевского района от 02.06.2022 № 76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бюджетного общеобразовательного учреждения «Инкинская средняя общеобразовательная школа» на обустройство памятного объекта «Аллея героев», расположенного на территории МБОУ «Инкинская СОШ» (Колпашевский район, с.Инкино, ул.Советская, 15)" (распоряжение АТО от 20.04.2022 № 118-р-в)</t>
  </si>
  <si>
    <t>02.06.2022- 01.10.2022</t>
  </si>
  <si>
    <t>09.06.2022- 31.12.2022</t>
  </si>
  <si>
    <t>1085 (505)</t>
  </si>
  <si>
    <t>2347 (206 505)</t>
  </si>
  <si>
    <t>Постановление Администрации Колпашевского района от 11.05.2022 № 601 "О порядке расходования средств субсидии из областного бюджета бюджету муниципального образования «Колпашевский район» на строительство муниципальных объектов в сфере общего образования в рамках государственной программы «Развитие образования в Томской области» (Строительство здания МБОУ «Саровская СОШ» с размещением 2-х групп дошкольного образования по адресу: Томская область, Колпашевский район, п. Большая Саровка, ул. Советская, 19)" (в редакции от 17.06.2022 № 796)</t>
  </si>
  <si>
    <t>Постановление Администрации Колпашевского района от 21.06.2022 № 801 "Об установлении расходного обязательства муниципального образования «Колпашевский район»</t>
  </si>
  <si>
    <t>31.01.2022- 31.12.2022</t>
  </si>
  <si>
    <t>28.02.2022- 31.12.2022</t>
  </si>
  <si>
    <t>Постановление Администрации Колпашевского района от 27.01.2022 № 87 "Об установлении расходного обязательства муниципального образования "Колпашевский район" (утратило силу пост. от 27.06.2022 № 828)</t>
  </si>
  <si>
    <t>27.01.2022- 27.06.2022</t>
  </si>
  <si>
    <t>Решение Думы Колпашевского района от 28.06.2022 № 61 "О предоставлении иных межбюджетных трансфертов бюджетам поселений, входящих в состав муниципального образования "Колпашевский район", на подготовку и проведение выборов депутатов представительных органов поселений Колпашевского района"</t>
  </si>
  <si>
    <t>28.06.2022- 20.12.2022</t>
  </si>
  <si>
    <t>28.06.2022- 26.12.2022</t>
  </si>
  <si>
    <t>Решение Думы Колпашевского района от 28.06.2022 № 68 "О предоставлении иного межбюджетного трансферта бюджету муниципального образования "Чажемтовское сельское поселение" на ремонт водопровода"</t>
  </si>
  <si>
    <t>Решение думы Колпашевского района от 28.06.2022 № 69 "О предоставлении иного межбюджетного трансферта бюджету муниципального образования "Саровское сельское поселение" на ликвидацию мест несанкционированного размещения твёрдых коммунальных отходов"</t>
  </si>
  <si>
    <t>28.06.2022- 30.12.2022</t>
  </si>
  <si>
    <t>Решение Думы Колпашевского района от 28.02.2022 № 23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проведения кадастровых работ по оформлению земельных участков в собственность муниципальных образований" (в редакции от 28.06.2022 № 71)</t>
  </si>
  <si>
    <t>Решение Думы Колпашевского района от 28.06.2022 № 72 "О предоставлении иного межбюджетного трансферта бюджету муниципального образования "Колпашевское городское поселение" для расселения жителей г. Колпашево Колпашевского района Томской области из жилых помещений, расположенных в зоне обрушения береговой линии реки Оби в районе города Колпашево"</t>
  </si>
  <si>
    <t>Постановление Главы Колпашевского района от 30.06.2022 № 93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07.06.2022 № 177-р-в)</t>
  </si>
  <si>
    <t>Постановление Главы Колпашевского района от 06.07.2022 № 100 "О порядке и сроке расходования бюджетных ассигнований резервного фонда финансирования непредвиденных расходов Администрации Томской области" (распоряжение АТО от 05.05.2022 № 297-ра)</t>
  </si>
  <si>
    <t>17.06.2022- 26.12.2022</t>
  </si>
  <si>
    <t>1.4.1.21. на осуществление первичного воинского учета на территориях, где отсутствуют военные комиссариаты</t>
  </si>
  <si>
    <t>(203 534)</t>
  </si>
  <si>
    <t>(100 331)</t>
  </si>
  <si>
    <t>(100 334)</t>
  </si>
  <si>
    <t>(203 538)</t>
  </si>
  <si>
    <t>(499 716)</t>
  </si>
  <si>
    <t>Постановление Администрации Колпашевского района от 17.06.2022 № 798 "О порядке и сроке расходования бюджетных ассигнований резервного фонда финансирования непредвиденных расходов Администрации Томской области" (отменено от 08.07.2022 № 870)</t>
  </si>
  <si>
    <t>21.07.2022- 31.12.2022</t>
  </si>
  <si>
    <t>Постановление Администрации Колпвашевского района от 21.07.2022 № 941 "О порядке и сроке расходования средств субсидии на реализацию проектов, отобранных по итогам проведения конкурса проектов детского и социального туризма" (в редакции от 29.07.2022 № 959)</t>
  </si>
  <si>
    <t>Постановление Администрации Колпашевского района оот 21.07.2022 № 940 "О порядке и сроке расходования средств субсидии на реализацию проектов,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 (в редакции от 29.07.2022 № 960)</t>
  </si>
  <si>
    <t>Решение Думы Колпашевского района от 29.07.2022 № 78 "О предоставлении иного межбюджетного трансферта бюджету муниципального образования "Новоселовское сельское поселение" на реализацию проекта, отобранного по итогам проведения конкурса проектов и направленных на создание условий для развития туризма и туристической инфраструктуры в Томской области"</t>
  </si>
  <si>
    <t>29.07.2022- 10.12.2022</t>
  </si>
  <si>
    <t>29.07.2022, не установлен</t>
  </si>
  <si>
    <t>29.07.2022- 30.12.2022</t>
  </si>
  <si>
    <t>29.07.2022- 26.12.2022</t>
  </si>
  <si>
    <t>29.07.2022- 25.12.2022</t>
  </si>
  <si>
    <t>Решение Думы Колпашевского района от 29.07.2022 № 86 "О предоставлении иного межбюджетного трансферта бюджету муниципального образования "Новоселовское сельское поселение" на благоустройство населённых пунктов"</t>
  </si>
  <si>
    <t>Решение Думы Колпашевского района от 29.07.2022 № 87 "О предоставлении иного межбюджетного трансферта бюджету муниципального образования "Саровское сельское поселение" на организацию уличного освещения населённых пунктов Саровского сельского поселения на благоустройство населённых пунктов"</t>
  </si>
  <si>
    <t>29.07.2022- 15.12.2022</t>
  </si>
  <si>
    <t>(100 337)</t>
  </si>
  <si>
    <t>Постановление Главы Колпашевскогго района от 10.08.2022 № 116 "О порядке и сроке расходования бюджетных ассигнований резервного фонда финансирования непредвиденных расходов Администрации Томской области"</t>
  </si>
  <si>
    <t>10.08.2022- 31.12.2022</t>
  </si>
  <si>
    <t>Постановление Главы Колпашевского района от 15.08.2022 № 120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дошкольного образовательного учреждения «Центр развития ребенка – детский сад «Золотой ключик» Колпашевского района на укрепление материально-технической базы"</t>
  </si>
  <si>
    <t>15.08.2022- 31.12.2022</t>
  </si>
  <si>
    <t>Постановление Администрации Колпашевского района от 14.12.2021 № 1471 "О предоставлении субсидии религиозной организации "Колпашевская Епархия Русской Православной Церкви (Московский патриархат)" на изготовление, установку мозаики в часовне и благоустройство территории храма в г. Колпашево" (в редакции от 09.02.2022 № 145, от 15.08.2022 № 1036)</t>
  </si>
  <si>
    <t>14.12.2021- 15.09.2022</t>
  </si>
  <si>
    <t>Постановление Главы Колпашевского района от 23.08.2022 № 122 "О порядке и сроке расходования бюджетных ассигнований резервного фонда финансирования непредвиденных расходов Администрации Томской области"</t>
  </si>
  <si>
    <t>23.08.2022- 01.11.2022</t>
  </si>
  <si>
    <t>Постановление Главы Колпашевского района от 23.08.2022 № 123 "О порядке и сроке расходования бюджетных ассигнований резервного фонда финансирования непредвиденных расходов Администрации Томской области"</t>
  </si>
  <si>
    <t>23.08.2022- 31.12.2022</t>
  </si>
  <si>
    <t>Постановление Администрации Колпашевского района от 25.08.2022 № 1085 "О иных межбюджетных трансфертах на поощрение поселенческих команд, участвовавших в XV летней межпоселенческой спартакиаде в д.Маракса Новоселовского сельского поселения, из бюджета муниципального образования «Колпашевский район» в 2022 году"</t>
  </si>
  <si>
    <t>25.08.2022- 15.12.2022</t>
  </si>
  <si>
    <t>Решение Думы Колпашевского района от 29.08.2022 № 98 "О предоставлении иного межбюджетного трансферта бюджету муниципального образования "Колпашевское городское поселение" на проведение работ по подготовке к покраске и покраске вертолета МИ-8 (памятного мемориала на территории г. Колпашево)"</t>
  </si>
  <si>
    <t>29.08.2022- 31.10.2022</t>
  </si>
  <si>
    <t>Решение Думы Колпашевского района от 29.07.2022 № 85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компенсацию убытков, сверхнормативных расходов и выпадающих доходов теплоснабжающих организаций от эксплуатации муниципальных котельных" (в редакции от 29.08.2022 № 99)</t>
  </si>
  <si>
    <t>Решение Думы Колпашевского района от 29.08.2022 № 100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ремонт муниципального жилья"</t>
  </si>
  <si>
    <t>29.08.2022- 20.12.2022</t>
  </si>
  <si>
    <t>Решение Думы Колпашевского района от 29.08.2022 № 101 "О предоставлении иного межбюджетного трансферта бюджету муниципального образования "Чажемтовское сельское поселение" на приобретение элементов детской площадки, расположенной по адресу: Томская область, Колпашевский район, с. Старокороткино, ул. Центральная, 43"</t>
  </si>
  <si>
    <t>29.08.2022- 10.12.2022</t>
  </si>
  <si>
    <t>Решение Думы Колпашевского района от 29.08.2022 № 102 "О предоставлении иных межбюджетных трансфертов бюджетам муниципальных образований Колпашевского района на проведение мероприятий по защите населённых пунктов от природных пожаров"</t>
  </si>
  <si>
    <t>Постановление Администрации Колпашевского района от 16.03.2022 № 351 "О порядке и сроках расходования средств субсидии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 (в редакции от 21.06.2022 № 800, от 30.06.2022 № 850)</t>
  </si>
  <si>
    <t>Решение думы Колпашевского района от 26.09.2022 № 111 "О предоставлении иного межбюджетного трансферта бюджету муниципального образования "Новогоренского сельского поселение" на приобретение циркуляционного насоса для котельной, расположенной по адресу: Томская область, Колпашевский район, д. Новогорное, пер. Клубный, 3/1"</t>
  </si>
  <si>
    <t>26.09.2022- 01.11.2022</t>
  </si>
  <si>
    <t>27.09.2022, не установлен</t>
  </si>
  <si>
    <t>Постановление Главы Колпашевского района от 07.10.2022 № 142 "О порядке и сроке расходования бюджетных ассигнований резервного фонда финансирования непредвиденных расходов Администрации Томской области"</t>
  </si>
  <si>
    <t>07.10.2022- 01.11.2022</t>
  </si>
  <si>
    <t>Постановление Администрации Колпашевского района от 12.08.2014 № 791 "Об утверждении нормативов финансовых затрат на капитальный ремонт, ремонт, содержание автомобильных дорог общего пользования местного значения вне границ населенных пунктов в границах муниципального образования "Колпашевский район" и правил расчета размера ассигнований бюджета муниципального образования "Колпашевский район" на указанные цели" (в редакции от 18.09.2017 № 945, от 03.10.2018 № 1052, от 16.09.2019 № 1055, от 24.09.2020 № 1039, от 17.09.2021 № 1119, от 20.10.2022 № 1279)</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</si>
  <si>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29.04.2013 № 38, от 21.12.2015 № 56, от 28.03.2017 № 23, от 28.06.2017 № 56, от 28.09.2017 № 92, от 28.08.2018 № 78, от 28.11.2018 № 102)</t>
  </si>
  <si>
    <t>Постановление Администрации Колпашевского района от 09.02.2022 № 149 "Об утверждении Положения об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а также дополнительного образования детей, в муниципальных образовательных организациях Колпашевского района"</t>
  </si>
  <si>
    <t>Постановление Главы Колпашевского района от 21.12.2021 № 152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10.12.2021 № 392-р-в)</t>
  </si>
  <si>
    <t>Постановление Администрации Колпашевского района от 11.03.2020 № 242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26.06.2020 № 651, от 06.11.2020 № 1204, от 02.12.2020 № 1312, от 03.03.2021 № 286, от 30.06.2021 № 798, 13.01.2022 № 13, от 09.02.2022 № 143, от 28.02.2022 № 250)</t>
  </si>
  <si>
    <t>21.10.2022, не установлен</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</si>
  <si>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28.08.2008 № 525, от 24.05.2010 № 835, от 25.04.2011 № 39, от 23.04.2012 № 68, от 15.12.2014 № 155, от 30.05.2016 № 50, от 24.08.2016 № 67, от 30.05.2017 № 41, от 28.09.2017 № 82, от 18.06.2018 № 41, от 26.02.2020 № 23)</t>
  </si>
  <si>
    <t xml:space="preserve">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
 </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</si>
  <si>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решения от 28.08.2018 № 68)</t>
  </si>
  <si>
    <t>Решение Думы Колпашевского района от 31.07.2015 № 69 "О размере, условиях и порядке предоставления компенсации расходов, связанных с переездом, лицам, заключившим трудовые договоры о работе в органах местного самоуправления муниципального образования «Колпашевский район», муниципальных учреждениях, финансируемых из бюджета муниципального образования «Колпашевский  район», и прибывшим в соответствии с этими договорами из других регионов Российской Федерации" (в редакции от 28.08.2018 № 66, от 04.07.2019 № 63, от 30.08.2021 № 96, от 30.09.2021 № 113)</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</si>
  <si>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19.06.2012 № 577, от 13.02.2013 № 119)</t>
  </si>
  <si>
    <t>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(в редакции от 11.08.2022 № 1018)</t>
  </si>
  <si>
    <t>29.08.2022- 25.12.2022</t>
  </si>
  <si>
    <t>Постановление Главы Колпашевского района от 16.04.2020 № 403 "О перечислении средств иных межбюджетных трансфертов Колпашевскому городскому поселению на исполнение судебных актов" (в редакции от 15.06.2020 № 617)</t>
  </si>
  <si>
    <t>Решение Думы Колпашевского райлона от 29.07.2022 № 89 "О предоставлении иного межбюджетного трансферта бюджету муниципального образования "Колпашевское городское поселение" на ремонт детских игровых площадок"</t>
  </si>
  <si>
    <t>1.1.1.17.3. МП "Развитие муниципальной системы образования в Колпашевском районе"</t>
  </si>
  <si>
    <t>1.1.1.17.4.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</si>
  <si>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1.1.1.17.6.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</si>
  <si>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1077</t>
  </si>
  <si>
    <t>2024</t>
  </si>
  <si>
    <t>0314</t>
  </si>
  <si>
    <t>2336 (100 339)</t>
  </si>
  <si>
    <t>2339 (499 720)</t>
  </si>
  <si>
    <t>Постановление Администрации Колпашевского района от 07.10.2022 № 1237 "О предоставлении средств иного межбюджетного трансферта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2022 году"</t>
  </si>
  <si>
    <t>07.10.2022- 01.12.2022</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</si>
  <si>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 от 03.10.2018 № 87, от 23.10.2019 № 106, от 331.01.2020 № 2, от 12.10.2020 № 6, от 30.09.2021 № 112, от 24.10.2022 № 115)</t>
  </si>
  <si>
    <t>Решение Думы Колпашевского района от 24.10.2022 № 116 "О предоставлении бюджету муниципального образования "Колпашевское городское поселение" иного межбюджетного трансферта для муниципального казённого учреждения "Городской молодёжный центр" на укрепление материально-технической базы"</t>
  </si>
  <si>
    <t>24.10.2022- 20.11.2022</t>
  </si>
  <si>
    <t>Решение Думы Колпашевского района от 24.10.2022 № 120 "О предоставлении иного межбюджетного трансферта бюджету муниципального образования "Новогоренское сельское поселение" на приобретение вычислительной техники (ноутбук) для нужд Администрации Новогоренского сельского поселения"</t>
  </si>
  <si>
    <t>24.10.2022- 10.12.2022</t>
  </si>
  <si>
    <t>Решение Думы Колпашевского района от 30.05.2022 № 53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водоснабжения" (в редакции от 28.06.2022 № 70, от 29.08.2022 № 95, от 26.09.2022 № 105, от 24.10.2022 № 123)</t>
  </si>
  <si>
    <t>Решение Думы Колпашевского района от 29.07.2022 № 88 "О предоставлении иных межбюджетных трансфертов бюджету муниципального образования "Инкинское сельское поселение" на организацию электроснабжения от дизельных электростанций" (в редакции от 24.10.2022 № 124)</t>
  </si>
  <si>
    <t>Постановление Главы Колпашевского района от 26.10.2022 № 157 "О порядке и сроках расходования бюджетных ассигнований резервного фонда финансирования непредвиденных расходов Администрации Томской области"</t>
  </si>
  <si>
    <t>26.10.2022- 01.12.2022</t>
  </si>
  <si>
    <t>Приложение</t>
  </si>
  <si>
    <t>Постановление Главы Колпашевского района от 17.11.2022 № 172 "О порядке и сроках расходования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t>
  </si>
  <si>
    <t>17.11.2022- 31.12.2022</t>
  </si>
  <si>
    <t>Постановление Администрации Колпашевского района от 18.11.2022 № 1376 "О порядке использования средств бюджета муниципального образования "Колпашевский район" на реализацию мероприятий по информационному обеспечению мероприятий по энергосбережению и повышению энергетической эффективности, определенных в качестве обязательных федеральными законами и иными нормативными правовыми актами Российской Федерации, а также предусмотренных соответствующей муниципальной программой в области энергосбережения и повышения энергетической эффективности"</t>
  </si>
  <si>
    <t>18.11.2022, не установлен</t>
  </si>
  <si>
    <t>22.11.2022- 31.12.2022</t>
  </si>
  <si>
    <t>Решение Думы Колпашевского района от 25.11.2022 № 129 "О предоставлении иного межбюджетного трансферта бюджету муниципального образования "Чажемтовское сельское поселение" на приобретение спортивных уличных тренажеров для расположения по адресам: Томская область, Колпашевский район, д.Сугот, ул.Центральная, 11; Томская область, Колпашевский район, с.Старокороткино, ул. Центральная, 43"</t>
  </si>
  <si>
    <t>25.11.2022- 20.12.2022</t>
  </si>
  <si>
    <t>Решение Думы Колпашевкого района от 28.06.2022 № 65 "О предоставлении иного межбюджетного трансферта бюджету муниципального образования "Колпашевское городское поселение" на организацию уличного освещения населённых пунктов Колпашевского городского поселения" (в редакции от 26.09.2022 № 106, от 25.11.2022 № 132)</t>
  </si>
  <si>
    <t>Решение Думы Колпашевского района от 25.11.2022 № 134 "О предоставлении в 2022 году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внутренним водным транспортом в границах муниципального образования "Колпашевское городское поселение"</t>
  </si>
  <si>
    <t>25.11.2022- 25.12.2022</t>
  </si>
  <si>
    <t>Решение Думы Колпашевского района от 26.01.2022 № 6 "О предоставлении иного межбюджетного трансферта бюджету муниципального образования "Колпашевское городское поселение" на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(в редакции от 30.05.2022 № 51, от 28.06.2022 № 67, от 29.07.2022 № 81, от 26.09.2022 № 109, от 25.11.2022 № 135)</t>
  </si>
  <si>
    <t>Решение Думы Колпашевского района от 26.01.2022 № 7 "О предоставлении иного межбюджетного трансферта бюджету муниципального образования "Колпашевское городское поселение"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2018 - 2024 гг." (в редакции от 30.05.2022 № 46, от 29.07.2022 № 80, от 25.11.2022 № 136)</t>
  </si>
  <si>
    <t>Ршение Думы Колпашевского района от 30.05.2022 № 48 "О предоставлении иного межбюджетного трансферта бюджету муниципального образования "Колпашевское городское поселение" на благоустройство населённых пунктов" (в редакции от 28.06.2022 № 66, от 29.07.2022 № 83, от 16.08.2022 № 91, от 26.09.2022 № 108, от 24.10.2022 № 122, от 25.11.2022 № 137)</t>
  </si>
  <si>
    <t>Решение Думы Колпашевского района от 25.11.2022 № 138 "О предоставлении иного межбюджетного трансферта из бюджета муниципального образования "Колпашевский район" бюджету муниципального образования "Чажемтовское сельское поселение" на ремонт тепловых сетей"</t>
  </si>
  <si>
    <t>Постановление Главы Колпашевского района от 22.11.2022 № 175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общеобразовательного учреждения "Средняя общеобразовательная школа № 4 имени Героя Советского Союза Ефима Афанасьевича Жданова" г. Колпашево на укрепление материально-технической базы"</t>
  </si>
  <si>
    <t>(209 506)</t>
  </si>
  <si>
    <t>(209 507)</t>
  </si>
  <si>
    <t>1.1.1.19.7. Субсидия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t>
  </si>
  <si>
    <t>1.1.1.19.8. Субсидия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(софинансирование за счет средств областного бюджета к средствам федерального бюджета)</t>
  </si>
  <si>
    <t>1.2.26. формирование и использование резервных фондов администраций муниципальных образований для финансирования непредвиденных расходов</t>
  </si>
  <si>
    <t>1.2.28. выплаты гражданам денежных вознаграждений в связи с присвоением почетных званий, получением наград, поощрений</t>
  </si>
  <si>
    <t>(100 343)</t>
  </si>
  <si>
    <t>(201 587)</t>
  </si>
  <si>
    <t>06.12.2022, не установлен</t>
  </si>
  <si>
    <t>прил. 20</t>
  </si>
  <si>
    <t>01.01.2020 - 31.12.2024</t>
  </si>
  <si>
    <t>Решение Думы Колпашевского района от 08.12.2022 № 141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компенсацию сверхнормативных расходов и выпадающих доходов ресурсоснабжающих организаций"</t>
  </si>
  <si>
    <t>08.12.2022- 30.12.2022</t>
  </si>
  <si>
    <t>16.12.2022- 31.12.2022</t>
  </si>
  <si>
    <t>Решение Думы Колпашевского района от 26.02.2020 № 30 "О порядке предоставления иных межбюджетных трансферов бюджетам поселений, входящих в состав муниципального образования "Колпашевский район", на капитальный ремонт и (или) ремонт автомобильных дорог общего пользования местного значения" (в редакции от 25.04.2022 № 35, от19.12.2022 № 144)</t>
  </si>
  <si>
    <t>Решение Думы Колпашевского района от 29.07.2022 № 84 "О предоставлении иного межбюджетного трансферта бюджету муниципального образования "Колпашевское городское поселение" на организацию теплоснабжения населённых пунктов Колпашевского городского поселения" (в редакции от 29.08.2022 № 97, от 25.11.2022 № 133, от 19.12.2022 № 146)</t>
  </si>
  <si>
    <t>Постановление Администрации Колпашевского района от 22.03.2022 № 375 "О иных межбюджетных трансферах на капитальный ремонт и (или) ремонт автомобильных дорог общего пользования местного значения, предоставляемых бюджетам поселений Колпашевского района в 2022 году" (в редакции от 11.05.2022 № 602, от 14.07.2022 № 893, от 07.09.2022 № 1120, от 24.11.2022 № 1396, от 21.12.2022 № 1471)</t>
  </si>
  <si>
    <t>Постановление Главы Колпашевского района от 22.12.2022 № 188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учреждения дополнительного образования "Детская школа искусств" г. Колпашево на укрепление материально-технической базы"</t>
  </si>
  <si>
    <t>22.12.2022- 31.12.2022</t>
  </si>
  <si>
    <t>Постановление Администрации Колпашевского района от 22.12.2022 № 1483 "О расходном обязательстве муниципального образования "Колпашевский район" по использованию собственных финансовых средств на исполнение отдельных государственных полномочий по организации мероприятий при осуществлении деятельности по обращению с животными без владельцев"</t>
  </si>
  <si>
    <t>Постановление Администрации Колпашевского района от 09.06.2022 № 765 "О порядке и сроке расходования субсидии из областного бюджета бюджету муниципального образования «Колпашевский район» на проведение комплексных кадастровых работ" (в редакции от 28.12.2022 № 1515)</t>
  </si>
  <si>
    <t>Постановление Администрации Колпашевского района от 15.12.2021 № 1484 "Об утверждении муниципальной программы "Развитие внутреннего и въездного туризма на территории Колпашевского района" (в редакции от 29.09.2022 № 1220, от 29.12.2022 № 1524)</t>
  </si>
  <si>
    <t>текущий 2023 год</t>
  </si>
  <si>
    <t>очередной 2024 год</t>
  </si>
  <si>
    <t>2025 год</t>
  </si>
  <si>
    <t>1.2.27.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</si>
  <si>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Гл.3, ст.17, п. 1, п.п. 1.</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</si>
  <si>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</si>
  <si>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</si>
  <si>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ст. 17, п.1, п.п.8.2</t>
  </si>
  <si>
    <t>1.6.4.2.1.1. Иной межбюджетный трансферт на приобретение вычислительной техники (ноутбук) для нужд Администрации Новогоренского сельского поселения</t>
  </si>
  <si>
    <t xml:space="preserve">1.1.1.20.6. расходы за счет резервных фондов Администрации Томской области </t>
  </si>
  <si>
    <t>23.03.2022- 31.12.2022</t>
  </si>
  <si>
    <t>01.01.2022-31.12.2026</t>
  </si>
  <si>
    <t>ст.11 п.2</t>
  </si>
  <si>
    <t>1.6.4.2.2.1.1. Иной межбюджетный трансферт на приобретение и доставку оборудования для дизельной электростанции</t>
  </si>
  <si>
    <t>1.6.4.2.2.1.2. Иной межбюджетный трансферт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</si>
  <si>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1.6.4.2.2.1.3. Иной межбюджетный трансферт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</si>
  <si>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1.6.4.2.2.1.4. Иной межбюджетный трансферт на проведение электроизмерительных, электромонтажных работ на объектах теплоснабжения</t>
  </si>
  <si>
    <t>1.6.4.2.2.1.5. Иной межбюджетный трансферт на организацию водоснабжения</t>
  </si>
  <si>
    <t>1.6.4.2.2.1.6. Иной межбюджетный трансферт на компенсацию убытков, сверхнормативных расходов и выпадающих доходов ресурсоснабжающих организаций от эксплуатации объектов водоснабжения</t>
  </si>
  <si>
    <t>1.6.4.2.2.1.7. Иной межбюджетный трансферт на ремонт водопровода</t>
  </si>
  <si>
    <t>1.6.4.2.2.1.8. Иной межбюджетный трансферт на организацию электроснабжения от дизельных электростанций</t>
  </si>
  <si>
    <t>1.6.4.2.2.1.9. Иной межбюджетный трансферт на компенсацию убытков, сверхнормативных расходов и выпадающих доходов теплоснабжающих организаций от эксплуатации муниципальных котельных</t>
  </si>
  <si>
    <t>1.6.4.2.2.1.10. Иной межбюджетный трансферт на организацию теплоснабжения населённых пунктов Колпашевского городского поселения</t>
  </si>
  <si>
    <t>1.6.4.2.2.1.11. Иной межбюджетный трансферт на ремонт тепловых сетей</t>
  </si>
  <si>
    <t>1.6.4.2.2.1.12. Иные межбюджетные трансферты на компенсацию сверхнормативных расходов и выпадающих доходов ресурсоснабжающих организаций</t>
  </si>
  <si>
    <t>1.6.4.2.2.2.2. Субсидия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</si>
  <si>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1.6.4.2.2.2.3.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24.02.2022 № 100-ра)</t>
  </si>
  <si>
    <t>1.6.4.2.2.2.4.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16.09.2022 № 355-р-в)</t>
  </si>
  <si>
    <t>1.6.4.2.4.3. Иной межбюджетный трансферт на осуществление дорожной деятельности</t>
  </si>
  <si>
    <t>1.6.4.2.21.2. Иной межбюджетный трансферт на приобретение, доставку и установку оборудования для малобюджетных спортивных площадок по месту жительства и учёбы</t>
  </si>
  <si>
    <t>1.6.4.2.21.1. Иной межбюджетный трансферт на организацию деятельности катка по адресу г. Колпашево, ул. Кирова, 41</t>
  </si>
  <si>
    <t>1.6.4.2.21.3. Субсидия на приобретение оборудования для малобюджетных спортивных площадок по месту жительства и учебы в муниципальных образованиях Томской области за исключением муниципального образования "Город Томск", муниципального образования "Городской округ закрытое административно-территориальное образование Северск Томской области" в рамках регионального проекта "Спорт - норма жизни"</t>
  </si>
  <si>
    <t>1.6.4.2.21.4. Иной межбюджетный трансферт на подготовку спортивных сооружений к проведению XVлетней межпоселенческой спартакиады в д. Маракса Новоселовского сельского поселения</t>
  </si>
  <si>
    <t>1.6.4.2.21.5. Иные межбюджетные трансферты на поощрение поселенческих команд, участвовавших в XV летней межпоселенческой спартакиаде в д.Маракса Новоселовского сельского поселения</t>
  </si>
  <si>
    <t>1.6.4.2.21.6.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05.07.2022 № 220 р-в)</t>
  </si>
  <si>
    <t>1.6.4.2.26.1.2. Иной межбюджетный трансферт на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</si>
  <si>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1.6.4.2.26.1.4. Иной межбюджетный трансферт на разработку, внесение изменений в дизайн-проекты и проектно-сметную документацию по объектам благоустройства наиболее посещаемых муниципальных территорий общественного пользования</t>
  </si>
  <si>
    <t>1.6.4.2.26.1.5. Иной межбюджетный трансферт на организацию уличного освещения</t>
  </si>
  <si>
    <t>1.6.4.2.26.1.6. Иной межбюджетный трансферт на благоустройство объекта «Памятный мемориал на территориии сквера по адресу: г. Колпашево, ул. М.Горького, 2"</t>
  </si>
  <si>
    <t>1.6.4.2.26.1.7. Иной межбюджетный трансферт на благоустройство населенных пунктов Колпашевского городского поселения</t>
  </si>
  <si>
    <t>1.6.4.2.26.1.8. Иной межбюджетный трансферт на организацию уличного освещения населённых пунктов Колпашевского городского поселения</t>
  </si>
  <si>
    <t>1.6.4.2.26.1.9. Иной межбюджетный трансферт на организацию уличного освещения населённых пунктов Саровского сельского поселения</t>
  </si>
  <si>
    <t>1.6.4.2.26.1.10. Иной межбюджетный трансферт на благоустройство населённых пунктов Новоселовского сельского поселения</t>
  </si>
  <si>
    <t>1.6.4.2.26.2.1. Субсидия на финансовую поддержку инициативного проекта "Обустройство уличного освещения в г. Колпашево, по ул. Гоголя", выдвинутого муниципальным образованием "Колпашевское городское поселение", входящим в состав Колпашевского района Томской области</t>
  </si>
  <si>
    <t>1.6.4.2.26.2.2.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14.07.2022 № 250-р-в)</t>
  </si>
  <si>
    <t>1.6.4.2.26.2.3.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22.07.2022 № 264-р-в)</t>
  </si>
  <si>
    <t>1.6.4.2.26.2.4. Иные межбюджетные трансферты из резервного фонда финансирования непредвиденных расходов Администрации Томской области (в соответствии с распоряжением АТО от 10.08.2022 № 291-р-в)</t>
  </si>
  <si>
    <t>26.05.2021, не установлен</t>
  </si>
  <si>
    <t>19.03.2021, не установлен</t>
  </si>
  <si>
    <t>Решение Думы Колпашевского района от 25.11.2022 № 130 "О предоставлении иного межбюджетного трансферта бюджету муниципального образования "Колпашевское городское поселение" на организацию деятельности катка по адресу г. Колпашево, ул. Кирова, 41"</t>
  </si>
  <si>
    <t>01.01.2023- 23.12.2023</t>
  </si>
  <si>
    <t>01.01.2023- 27.12.2023</t>
  </si>
  <si>
    <t>1.1.1.17.5. Обеспечение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</si>
  <si>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(209 517)</t>
  </si>
  <si>
    <t xml:space="preserve">1.1.1.17.6. расходы за счет резервных фондов Администрации Томской области </t>
  </si>
  <si>
    <t>(209 609)</t>
  </si>
  <si>
    <t>(209 513)</t>
  </si>
  <si>
    <t>(209 544)</t>
  </si>
  <si>
    <t>(209 545)</t>
  </si>
  <si>
    <t>(209 618)</t>
  </si>
  <si>
    <t>(209 619)</t>
  </si>
  <si>
    <t>(209 541)</t>
  </si>
  <si>
    <t>(209 542)</t>
  </si>
  <si>
    <t>1.1.1.19.11. Субсидия на оснащение зданий для размещения общеобразовательных организаций оборудованием, предусмотренным проектной документацией</t>
  </si>
  <si>
    <t>1.1.1.18.9. Субсидия на проведение капитального ремонта зданий муниципальных общеобразовательных организаций в рамках модернизации школьных систем образования в Томской области. (Капитальный ремонт МАОУ "СОШ № 2" г. Колпашево, по адресу: Томская область, г. Колпашево, пер. Чапаева, д. 38) (за счет средств областного бюджета)</t>
  </si>
  <si>
    <t>1.1.1.18.10.Субсидия на реализацию мероприятий по модернизации школьных систем образования (проведение капитального ремонта зданий (обособленных помещений) государственных (муниципальных) общеобразовательных организаций) (за счет средств федерального бюджета)</t>
  </si>
  <si>
    <t>1.1.1.18.11. Субсидии местным бюджетам на обеспечение антитеррористической защиты отремонтированных зданий муниципальных общеобразовательных организаций</t>
  </si>
  <si>
    <t>1.1.1.18.12. Субсидии местным бюджетам на повышение квалификации школьных команд муниципальных общеобразовательных организаций</t>
  </si>
  <si>
    <t>1.1.1.18.13. Субсидия на реализацию мероприятий по модернизации школьных систем образования (оснащение отремонтированных зданий и (или) помещений муниципальных общеобразовательных организаций современными средствами обучения и воспитания)</t>
  </si>
  <si>
    <t>1.1.1.18.14. Субсидия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</si>
  <si>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1.1.1.18.15. Субсидия на обеспечение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</si>
  <si>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1.1.1.19.9. Cубсидия на строительство муниципальных объектов в сфере общего образования (Строительство здания МБОУ "Саровская СОШ" с размещением 2-х групп дошкольного образования по адресу: Томская область, Колпашевский район, п. Большая Саровка, ул. Советская, 19)</t>
  </si>
  <si>
    <t>1.1.1.19.10. Субсидия на обеспечение обучающихся с ограниченными возможностями здоровья, не проживающих в муниципальных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</si>
  <si>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1.1.1.19.12. Cубсидия на оснащение зданий средствами обучения и воспитания для размещения общеобразовательных организаций</t>
  </si>
  <si>
    <t>1.1.1.19.13. Субсидия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</si>
  <si>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1.1.1.19.14.Субсидия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ребенка"</t>
  </si>
  <si>
    <t>1.1.1.19.15.Субсидия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</si>
  <si>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1.1.1.20.6. Субсидия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</si>
  <si>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(209 622)</t>
  </si>
  <si>
    <t>(209 623)</t>
  </si>
  <si>
    <t>(215 502)</t>
  </si>
  <si>
    <t>(213 510)</t>
  </si>
  <si>
    <t>2025</t>
  </si>
  <si>
    <t>1027</t>
  </si>
  <si>
    <t>1.4.2.2.3. Формирование и содержание архивных фондов субъекта Российской Федерации</t>
  </si>
  <si>
    <t>1802.3
(310 580)</t>
  </si>
  <si>
    <t>1.6.4.2.2.1.13. ИМБТ на организацию газоснабжения населенных пунктов Колпашевского района</t>
  </si>
  <si>
    <t>(100 304)</t>
  </si>
  <si>
    <t>1.6.4.2.2.1.14. ИМБТ на организацию водоснабжения и водоотведения населенных пунктов Колпашевского района</t>
  </si>
  <si>
    <t>1.6.4.2.21.7. ИМБТ на обустройство спортивных объектов в поселениях Колпашевского района</t>
  </si>
  <si>
    <t>1.6.4.2.26.1.11. ИМБТ на выполнение работ по строительному контролю и авторскому надзору по объектам благоустройства наиболее посещаемых муниципальных территорий</t>
  </si>
  <si>
    <t>1.6.4.2.26.1.12. ИМБТ на выполнение работ по созданию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</si>
  <si>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09.01.2023, не установлен</t>
  </si>
  <si>
    <t>ст. 37,  п. 4</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</si>
  <si>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 20.12.2018 № 1408, от 29.11.2019 № 1341, от 28.05.2020 № 522, от 29.12.2020 № 1427, от 29.01.2021 № 137, от 17.01.2023 № 29)</t>
  </si>
  <si>
    <t>Постановление Администрации Колпашевского района от 25.01.2023 № 44 "О порядке и сроках расходования средств субсидии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рамках регионального проекта "Успех каждого ребёнка"</t>
  </si>
  <si>
    <t>25.01.2023- 31.12.2023</t>
  </si>
  <si>
    <t>Решение Думы Колпашевского районат от 31.01.2020 № 3 "О порядке предоставления и распределения иных межбюджетных трансфертов из бюджета муниципального образования "Колпашевский район" бюджетам поселений Колпашевского района на компенсацию расходов по организации электроснабжения от дизельных электростанций" (в редакции от 10.12.2020 № 35, от 30.01.2023 № 2)</t>
  </si>
  <si>
    <t>Решение Думы Колпашевского района от 10.12.2020 № 34 "Об установлении целей, порядка и условий предоставления из бюджета муниципального образования "Колпашевский район" бюджетам поселений Колпашевского района субвенций на осуществление полномочий по первичному воинскому учету на территориях, где отсутствуют военные комиссариаты" (в редакции от 30.01.2023 № 3)</t>
  </si>
  <si>
    <t>Решение Думы Колпашевского района от 30.01.2023 № 4 "О предоставлении бюджетам поселений Колпашевского района иных межбюджетных трансфертов на на обеспечение условий для развития физической культуры и массового спорта"</t>
  </si>
  <si>
    <t>30.01.2023- 28.12.2023</t>
  </si>
  <si>
    <t>Решение Думы Колпашевского района от 30.01.2023 № 5 "О предоставлении бюджетам поселений Колпашевского района иных межбюджетных трансфертов на обустройство спортивных объектов в поселениях Колпашевского района"</t>
  </si>
  <si>
    <t>30.01.2023- 31.12.2023</t>
  </si>
  <si>
    <t>Решение Думы Колпашевского района от 29.07.2022 № 79 "О предоставлении субвенции бюджетам поселений Колпашевского района на предоставление социальной выплаты, удостоверяемой государственным жилищным сертификатом Томской области лицам, которые ранее относились к категории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к категории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(в редакции от 30.01.2023 № 6)</t>
  </si>
  <si>
    <t>Решение Думы Колпашевского района от 19.12.2022 № 145 "О предоставлении иного межбюджетного трансферта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2023 году" (в редакции от 30.01.2023 № 7)</t>
  </si>
  <si>
    <t>30.01.2023- 15.12.2023</t>
  </si>
  <si>
    <t>Решение думы Колпашевского района от 30.01.2023 № 9 "О предоставлении иного межбюджетного трансферта на организацию газоснабжения населённых пунктов Колпашевского района"</t>
  </si>
  <si>
    <t>Решние Думы Колпашевского района от 30.01.2023 № 10 "О предоставлении иного межбюджетного трансферта бюджету муниципального образования "Колпашевское городское поселение" на улучшение состояния благоустройства муниципальных территорий общественного пользования"</t>
  </si>
  <si>
    <t>30.01.2023- 25.12.2023</t>
  </si>
  <si>
    <t>Решение Думы Колпашевского района от 30.01.2023 № 13 "О предоставлении иного межбюджетного трансферта на организацию электроснабжения населённых пунктов Колпашевского района"</t>
  </si>
  <si>
    <t>30.01.2023- 18.12.2023</t>
  </si>
  <si>
    <t>Решение Думы Колпашевского района от 30.01.2023 № 14 "О предоставлении бюджету муниципального образования "Саровское сельское поселение" иного межбюджетного трансферта на организацию работы добровольных пожарных команд на территориях населённых пунктов, не прикрытых подразделениями пожарной охраны"</t>
  </si>
  <si>
    <t>30.01.2023- 21.12.2023</t>
  </si>
  <si>
    <t>10.01.2022, не установлен</t>
  </si>
  <si>
    <t>31.01.2023, не установлен</t>
  </si>
  <si>
    <t>ст. 37 , п.4</t>
  </si>
  <si>
    <t>Прил. 3</t>
  </si>
  <si>
    <t>Прил. 11</t>
  </si>
  <si>
    <t>Прил. 16</t>
  </si>
  <si>
    <t>ПодПР "Региональный проект…"
прил. 2</t>
  </si>
  <si>
    <t>ПодПР "Региональный проект…"
прил. 3</t>
  </si>
  <si>
    <t>ПодПР "Региональный проект…"
прил. 5</t>
  </si>
  <si>
    <t>ПодПР "Региональный проект…"
прил. 1</t>
  </si>
  <si>
    <t>Прил. 10</t>
  </si>
  <si>
    <t>ПодПР 2
прил. 2</t>
  </si>
  <si>
    <t>Прил. 1</t>
  </si>
  <si>
    <t>Постановление Администрации Колпашевского района от 31.01.2023 № 62 "О порядке и сроках расходования предоставленных из бюджета Томской области средств субсидии, о расходовании средств бюджета муниципального образования "Колпашевский район"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об утверждении Порядка определения объёма и условия предоставления субсидии муниципальным бюджетным учреждениям культуры Колпашевского района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t>
  </si>
  <si>
    <t>31.01.2023- 31.12.2023</t>
  </si>
  <si>
    <t>01.01.2022- 31.12.2026</t>
  </si>
  <si>
    <t>Постановление Администрации Колпашевского района от 02.02.2023 № 73 "О финансировании мероприятия по оказанию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лиц, награжденных знаком "Житель осажденного Севастополя";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</si>
  <si>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02.02.2023- 31.12.2023</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</si>
  <si>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 (в редакции от 26.10.2020 № 1155, от 06.02.2023 № 80)</t>
  </si>
  <si>
    <t>Постановление Администрации Колпашевского района от 10.10.2018 № 1081 "Об утверждении муниципальной программы "Развитие предпринимательства в Колпашевском районе" (в редакции от 13.12.2018 № 1349, от 17.01.2020 № 15, от 10.07.2020 № 716, от 11.09.2020 № 1003, от 22.01.2021 № 77, от 10.08.2021 № 950, от 24.11.2021 № 1404, от 31.01.2022 № 107, от 24.03.2022 № 382, от 18.05.2022 № 669, от 07.02.2023)</t>
  </si>
  <si>
    <t>Постановление Администрации Колпашевского района от 08.02.2023 № 106 "О порядке и сроке расходования средств субсидии на государственную поддержку отрасли культуры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</si>
  <si>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08.02.2023- 31.12.2023</t>
  </si>
  <si>
    <t>Постановление Администрации Колашевского района от 16.12.2022 № 1458 "О порядке и сроках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 и утверждении Порядка определения объёма и условия предоставления муниципальным бюджетным учреждениям 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 (в редакции от 09.02.2023 № 1085)</t>
  </si>
  <si>
    <t>Постановление Администрации Колпашевского района от 04.12.2020 № 1316 "Об установлении расходного обязательства по осуществлению отдельных государственных полномочий по расчёту и предоставлению бюджетам поселений, входящих в состав муниципального района Томской области, субвенций на осуществление первичного воинского учёта органами местного самоуправления поселений и городских округов Томской области" (в редакции от 06.02.2023 № 90)</t>
  </si>
  <si>
    <t>Постановление Администрации Колпашевского района от 14.02.2023 № 121 "Об установлении расходного обязательства муниципального образования "Колпашевский район"</t>
  </si>
  <si>
    <t>14.02.2023- 31.12.2023</t>
  </si>
  <si>
    <t>1.1.1.18.17. Субсидия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</si>
  <si>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1.1.1.18.18. Субсидия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</si>
  <si>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1.1.1.18.19. МП "Обеспечение безопасности  населения Колпашевского района"</t>
  </si>
  <si>
    <t>1.1.1.18.20. МП "Развитие муниципальной системы образования в Колпашевском районе"</t>
  </si>
  <si>
    <t xml:space="preserve">1.1.1.18.21. расходы за счет резервных фондов Администрации Томской области </t>
  </si>
  <si>
    <t>(209 519)</t>
  </si>
  <si>
    <t>Прил 4 к ППр "Региональный.."</t>
  </si>
  <si>
    <t>1.1.1.32.4. Субсидия на приобретение передвижных многофункциональных культурных центров (автоклубов)</t>
  </si>
  <si>
    <t>(210  501)</t>
  </si>
  <si>
    <t>1.6.4.2.26.1.13. ИМБТ на организацию электроснабжения населённых пунктов Колпашевского района</t>
  </si>
  <si>
    <t>1.6.4.2.26.1.14. ИМБТ на улучшение состояния благоустройства муниципальных территорий общественного пользования</t>
  </si>
  <si>
    <t>1.6.4.2.26.1.15. ИМБТ на благоустройство населённых пунктов Колпашевского района</t>
  </si>
  <si>
    <t>2329 (100 313)</t>
  </si>
  <si>
    <t>(499 802)</t>
  </si>
  <si>
    <r>
      <t>2308</t>
    </r>
    <r>
      <rPr>
        <sz val="9"/>
        <rFont val="Times New Roman"/>
        <family val="1"/>
        <charset val="204"/>
      </rPr>
      <t xml:space="preserve"> (100 314)</t>
    </r>
  </si>
  <si>
    <t>08.02.2023- 01.12.2023</t>
  </si>
  <si>
    <t>Постановление Администрации Колпашевского района от 08.02.2023 № 102 "О порядке и сроке расходования средств субсидии на приобретение передвижного многофункционального культурного центра (автоклуб)" (в редакции от 13.02.2023 № 114)</t>
  </si>
  <si>
    <t>Постановление Администрации Колпашевского района от  14.02.2023 № 119 "О порядке и сроках расходования средств субсидии на разработку проектной документации для проведения капитального ремонта зданий муниципальных общеобразовательных организаций в рамках модернизации школьных систем образования в Томской области"</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</si>
  <si>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 от 21.02.2023 № 145)</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</si>
  <si>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 от 21.02.2023 № 145)</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</si>
  <si>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19.06.2012 № 577, от 13.02.2013 № 119, от 21.02.2023 № 145)</t>
  </si>
  <si>
    <t>Постановление Главы Колпашевского района от 27.02.2023 № 21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казённого общеобразовательного учреждения "Новогоренская средняя общеобразовательная школа" на укрепление материально-технической базы"</t>
  </si>
  <si>
    <t>27.02.2023- 31.12.2023</t>
  </si>
  <si>
    <t>Постановление Администрации Колпашевского района от 28.12.2021 № 1533 "Об утверждении муниципальной программы "Обеспечение медицинских организаций системы здравоохранения Колпашевского района квалифицированными медицинскими кадрами" (в редакции от 07.02.2023 № 97, от 21.02.2023 № 149)</t>
  </si>
  <si>
    <t>Постановление Администрации Колпашевского района от 15.12.2021 № 1484 "Об утверждении муниципальной программы "Развитие внутреннего и въездного туризма на территории Колпашевского района" (в редакции от 29.09.2022 № 1220, от 29.12.2022 № 1524, от 22.02.2023 № 154)</t>
  </si>
  <si>
    <t>Постановление Администрации Колпашевского района от 27.02.2023 № 166 "О порядке расходования средств субсидии из бюджета субъекта Российской Федерации местному бюджету на предоставление социальных выплат молодым семьям на приобретение (строительство) жилья"</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</si>
  <si>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16.02.2017 № 6, от 30.05.2017 № 45, от 29.09.2017 № 87, от 25.01.2018 № 1, от 24.04.2019 № 40, от 25.11.2019 № 122, от 23.11.2020 № 18, от 31.05.2021 № 54, от 28.06.2022 № 63, от 18.07.2022 № 75, от 27.02.2023 № 19)</t>
  </si>
  <si>
    <t>Решение Думы Колпашевского района от 25.01.2021 № 16 "О предоставлении субвенций бюджетам поселений Колпашевского района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редакции от 27.02.2023 № 20)</t>
  </si>
  <si>
    <t>27.02.2023- 25.12.2023</t>
  </si>
  <si>
    <t>Решение Думы Колпашевского района от 30.01.2023 № 12 "О предоставлении иного межбюджетного трансферта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наиболее посещаемых муниципальных территорий" (в редакции от 27.02.2023 № 22)</t>
  </si>
  <si>
    <t>Решение Думы Колпашевского района от 27.02.2023 № 23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подготовку проектов изменений в генеральные планы, правила землепользования и застройки"</t>
  </si>
  <si>
    <t>Решение Думы Колпашевского района от 27.02.2023 № 24 "О предоставлении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Колпашевского городского поселения автомобильным транспортом"</t>
  </si>
  <si>
    <t>Постановление Администрации Колпашевского района от 09.03.2023 № 197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</si>
  <si>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09.03.2023- 31.12.2023</t>
  </si>
  <si>
    <t>Постановление Администрации Колпашевского района от 21.10.2022 № 1281 «Об утверждении порядка предоставления субсидии на развитие и обеспечение деятельности бизнес-инкубатора Колпашевского района производственного и офисного назначения» (в редакции от 10.03.2023 № 213)</t>
  </si>
  <si>
    <t>1.1.1.19.16. Субсидия на разработку проектной документации для проведения капитального ремонта зданий муниципальных общеобразовательных организаций в рамках модернизации школьных систем образования Томской области</t>
  </si>
  <si>
    <t>1.1.1.19.17. Остатки 2022 года по субсидии на строительство муниципальных объектов в сфере общего образования (Строительство здания МБОУ "Саровская СОШ" с размещением 2-х групп дошкольного образования по адресу: Томская область, Колпашевский район, п. Большая Саровка, ул. Советская, 19)</t>
  </si>
  <si>
    <t>(209 801)</t>
  </si>
  <si>
    <t>1.1.1.19.18. МП "Обеспечение безопасности  населения Колпашевского района"</t>
  </si>
  <si>
    <t>1.1.1.19.19. МП "Развитие муниципальной системы образования в Колпашевском районе"</t>
  </si>
  <si>
    <t xml:space="preserve">1.1.1.19.20. расходы за счет резервных фондов Администрации Томской области </t>
  </si>
  <si>
    <t>1.1.1.32.5. межбюджетные трансферты из резервного фонда финансирования непредвиденных расходов Администрации Томской области</t>
  </si>
  <si>
    <t>Постановление Администрации Колпашевского района от 15.12.2021 № 1483 "Об утверждении муниципальной программы "Развитие культуры в Колпашевском районе" (в редакции от 24.03.2022 № 383, от 29.12.2022 № 1525, от 10.03.2023 № 215)</t>
  </si>
  <si>
    <t>Постановление Администрации Колпашевского района от 15.03.2023 № 243 "Об установлении расходного обязательства муниципального образования "Колпашевский район"</t>
  </si>
  <si>
    <t>ПостановлениеАдминистрации Колпашевского района от 14.08.2020 № 862 "Об утверждении муниципальной программы "Комплексное развитие сельских территорий Колпашевского района Томской области" (от 27.01.2021 № 114, от 07.06.2021 № 671, от 28.01.2022 № 90, от 03.03.2022 № 280, от 28.04.2022 № 574, от 06.02.2023 № 83, от 16.03.2023 № 246)</t>
  </si>
  <si>
    <t>Постановление Администрации Колпашевского района от 24.12.2021 № 1520 "Об утверждении муниципальной программы "Развитие коммунальной инфраструктуры Колпашевского района" (в редакции от 01.02.2023 № 64, от 13.03.2023, от 16.03.2023 № 248)</t>
  </si>
  <si>
    <t>Постановление Главы Колпашевского района от 17.03.2023 № 27 "О порядке и сроках расходования иного межбюджетного трансферта из резервного фонда финансирования непредвиденных расходов Администрации Томской области, выделенного бюджету муниципального образования «Колпашевский район» для муниципального автономного общеобразовательного учреждения «Средняя общеобразовательная школа № 2» г.Колпашево на укрепление материально-технической базы"</t>
  </si>
  <si>
    <t>17.03.2023- 31.12.2023</t>
  </si>
  <si>
    <t>Постановление Администрации Колпашевского района от 30.12.2021 № 1559 "Об утверждении муниципальной программы "Обеспечение безопасности населения Колпашевского района" (в редакции от 18.05.2022 № 665, от 06.02.2023 № 84, от 20.03.2023 № 265)</t>
  </si>
  <si>
    <t>Постановление Администрации Колпашевского района от 21.03.2023 № 275 "О порядке и сроках расходования средств субсидии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</si>
  <si>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21.03.2023, не установлен</t>
  </si>
  <si>
    <t>Постановление Администрации Колпашевского района от 21.03.2023 №279 "О порядке расходования средств 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</si>
  <si>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Постановление Администрации Колпашевского района от 15.12.2021 № 1489 "Об утверждении муниципальной программы "Развитие муниципальной системы образования Колпашевского района" (в редакции от 17.03.2022 № 356, от 18.11.2022 № 1381, от 30.12.2022 № 1532, от 27.03.2023 № 287)</t>
  </si>
  <si>
    <t>Постановление Администрации Колпашевского района от 25.01.2022 № 81 "О порядке и сроках расходования средств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общеобразовательных организаций и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выплату ежемесячного денежного вознаграждения за классное руководство педагогическим работникам муниципальных общеобразовательных организаций" (в редакции от 14.04.2022 № 484, от 27.03.2023 № 289)</t>
  </si>
  <si>
    <t>Постановление Администрации Колпашевского района от 10.01.2022 № 3 "Об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"Колпашевский район", порядке и сроках расходования средств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организацию бесплатного горячего питания обучающихся, получающих начальное общее образование в муниципальных общеобразовательных организациях" (в редакции от 14.02.2022 № 181, от 06.04.2022 № 431, от 30.08.2022 № 1098, от 04.01.2023 № 38, от 31.01.2023 № 60, от 27.03.2023 № 289)</t>
  </si>
  <si>
    <t>Постановление Администрации Колпашевского района  от 28.04.2022 № 573 «О порядке и сроке расходования средств иного межбюджетного трансферта на организацию системы выявления, сопровождения одарённых детей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муниципальному автономному общеобразовательному учреждению «Средняя общеобразовательная школа № 7» г.Колпашево на организацию системы выявления, сопровождения одарённых детей" (в редакии от 27.03.2023 № 289)</t>
  </si>
  <si>
    <t>Постановление Администрации Колпашевского района от 06.12.2022 № 1428 "О порядке и сроках расходования средств субсидии местным бюджетам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редакции от 27.03.2023 №287)</t>
  </si>
  <si>
    <t>Постановление Администрации Колпашевского района от 06.12.2022 № 1428 "О порядке и сроках расходования средств субсидии местным бюджетам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редакции от 27.03.2023 № 287)</t>
  </si>
  <si>
    <t>Постановление Администрации Колпашевского района от 06.04.2022 № 436 "О порядке и сроках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стимулирующие выплаты в муниципальных организациях дополнительного образования в Томской области" (в редакции от 27.03.2023 № 287)</t>
  </si>
  <si>
    <t>Постановление Администрации Колпашевского района от 06.04.2022 № 437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 (в редакции от 27.03.2023 № 287)</t>
  </si>
  <si>
    <t>Постановление Администрации Колпашевского района от 06.04.2022 № 432 "О порядке и сроках расходования средств межбюджетных трансфертов на выплату ежемесячной стипендии Губернатора Томской области молодым учителям муниципальных образовательных организаций Томской области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выплату стипендии Губернатора Томской области молодым учителям муниципальных образовательных организаций Томской области" (в редакции  от 27.03.2023 № 287)</t>
  </si>
  <si>
    <t>Постановление Администрации Колпашевского района от 06.04.2022 № 438 "О порядке расходования средств иного межбюджетного трансферта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и об утверждении Порядка определения объёма и условия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(в редакции  от 27.03.2023 № 287)</t>
  </si>
  <si>
    <t>Постановление Администрации Колпашевского района от 31.01.2023 № 61 "Об обеспечении обучающихся с ограниченными возможностями здоровья, не проживающих в муниципальных образовательных организациях Колпашевского района, осуществляющих образовательную деятельность по основным общеобразовательным программам, бесплатным двухразовым питанием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обеспечение обучающихся с ограниченными возможностями здоровья, не проживающих в муниципальных образовательных организациях Колпашевского района, осуществляющих образовательную деятельность по основным общеобразовательным программам, бесплатным двухразовым питанием" (в редакции  от 27.03.2023 № 287)</t>
  </si>
  <si>
    <t>Решение Думы Колпашевского района от 30.01.2023 № 8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организацию водоснабжения и водоотведения населённых пунктов Колпашевского района" (в редакции от 27.03.2023 № 26)</t>
  </si>
  <si>
    <t>Решение Думы Колпашевского района от 30.01.2023 № 11 "О предоставлении иного межбюджетного трансферта бюджету муниципального образования "Колпашевское городское поселение" на выполнение работ по созданию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 (в редакции от 27.03.2023 № 27)</t>
  </si>
  <si>
    <t>Решение Думы Колпашевского района от 27.02.2023 № 21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благоустройство населённых пунктов Колпашевского района" (в редакции  от 27.03.2023 № 287)</t>
  </si>
  <si>
    <t>Решение Думы Колпашевского района от 27.03.2023 № 29 "О предоставлении иного межбюджетного трансферта бюджету муниципального образования "Колпашевское городское поселение"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</si>
  <si>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27.03.2023- 31.12.2023</t>
  </si>
  <si>
    <t>Постановление Администрации Колпашевского района от 30.03.2023 № 300 "О порядке и сроке расходования субсидии из областного бюджета бюджету муниципального образования «Колпашевский район»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</si>
  <si>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30.03.2023- 31.12.2023</t>
  </si>
  <si>
    <t>Решение Думы Колпашевского района от 27.03.2023 № 30 "О предоставлении в 2022 году иного межбюджетного трансферта бюджету муниципального образования "Саровское сельское поселение"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</si>
  <si>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27.03.2023- 20.12.2023</t>
  </si>
  <si>
    <t>Постановление Администрации Колпашевского района от 27.12.2021 № 1531 "Об утверждении муниципальной программы "Развитие молодёжной политики, физической культуры и массового спорта на территории муниципального образования "Колпашевский район" (в редакции от 25.04.2022 № 549, от 29.12.2022 № 1523, от 29.03.2023 № 299)</t>
  </si>
  <si>
    <t>Постановление Администрации Колпашевского района от 09.01.2023 № 1 "Об обеспечении питанием отдельных категорий обучающихся, за исключением обучающихся, получающих начальное общее образование, и обучающихся с ограниченными возможностями здоровья, муниципальных общеобразовательных организаций Колпашевского района" (в редакции от 31.03.2023 № 304)</t>
  </si>
  <si>
    <t>Постановление Администрации Колпашевского района от 27.09.2022 № 1215 "Об утверждении порядка предоставления субсидий субъектам малого и среднего предпринимательства, физическим лицам - производителям товаров, работ, услуг, в целях возмещения части затрат в связи с приобретением в собственность основных средств, связанных с производством товаров, выполнением работ, оказанием услуг" (в редакции от 31.03.2023 № 306)</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</si>
  <si>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лиц, награжденных знаком "Житель осажденного Севастополя"; бывших несовершеннолетних узников концлагерей; вдов погибших (умерших) участников" (в редакции от 30.06.2016 № 713, от 18.10.2016 № 1143, от 19.12.2016 № 1373, от 25.04.2017 № 367, от 16.11.2017 № 1200, от 22.03.2018 № 237, от 02.07.2018 № 647, от 11.06.2019 № 612, от 12.08.2019 № 890, от 27.12.2019 № 1496, от 12.03.2020 № 245, от 28.05.2020 № 523, от 10.06.2021 № 725, от 14.04.2022 № 480, от 31.03.2023 № 308)</t>
  </si>
  <si>
    <t>Постановление Главы Колпашевского района от 03.04.2023 № 34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03.03.2023 № 45-р-в)</t>
  </si>
  <si>
    <t>03.04.2023- 31.12.2023</t>
  </si>
  <si>
    <t>Постановление Администрации Колпашевского района от 03.04.2023 № 35 "О порядке и сроке расходования бюджетных ассигнований резервного фонда финансирования непредвиденных расходов Администрации Томской области"</t>
  </si>
  <si>
    <t>03.04.2023- 01.11.2023</t>
  </si>
  <si>
    <t>Постановление Администрации Колпашевского района от 11.04.2023 № 329 "О порядке и сроке расходования средств субсидии из областного бюджета на софинансирование расходов на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</si>
  <si>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11.04.2023- 31.12.2023</t>
  </si>
  <si>
    <t>Постановление администрации Колпашевского района от 31.10.2017 № 1144 "Об утверждении муниципальной программы "Формирование современной городской среды на территории муниципального образования "Колпашевский район" на 2018-2022 годы" (в редакции от 03.04.2018 № 293, от 29.03.2019 № 303, от 29.05.2019 № 559, от 09.08.2019 № 884, от 25.03.2020 № 301, от 18.06.2020 № 625, от 04.03.2021 № 289, 02.03.2022 № 272, от 13.02.2023 № 115, от 12.04.2023 № 330)</t>
  </si>
  <si>
    <t>Реестр расходных обязательств муниципального образования "Колпашевский район" на 2023 год и плановый период 2024 и 2025 годов</t>
  </si>
</sst>
</file>

<file path=xl/styles.xml><?xml version="1.0" encoding="utf-8"?>
<styleSheet xmlns="http://schemas.openxmlformats.org/spreadsheetml/2006/main">
  <numFmts count="4">
    <numFmt numFmtId="164" formatCode="[$-10419]#,##0.0;\-#,##0.0"/>
    <numFmt numFmtId="165" formatCode="#,##0.0_ ;\-#,##0.0\ "/>
    <numFmt numFmtId="166" formatCode="#,##0.0"/>
    <numFmt numFmtId="168" formatCode="#,##0.000"/>
  </numFmts>
  <fonts count="23">
    <font>
      <sz val="10"/>
      <name val="Arial"/>
    </font>
    <font>
      <sz val="10"/>
      <name val="Arial"/>
      <family val="2"/>
      <charset val="204"/>
    </font>
    <font>
      <sz val="14"/>
      <name val="Times New Roman"/>
      <family val="1"/>
      <charset val="204"/>
    </font>
    <font>
      <sz val="9"/>
      <name val="Times New Roman CYR"/>
      <family val="1"/>
      <charset val="204"/>
    </font>
    <font>
      <sz val="9"/>
      <name val="Times New Roman"/>
      <family val="1"/>
      <charset val="204"/>
    </font>
    <font>
      <sz val="10"/>
      <name val="Arial"/>
      <family val="2"/>
      <charset val="204"/>
    </font>
    <font>
      <sz val="9"/>
      <name val="Times New Roman CYR"/>
      <charset val="204"/>
    </font>
    <font>
      <b/>
      <sz val="9"/>
      <name val="Times New Roman"/>
      <family val="1"/>
      <charset val="204"/>
    </font>
    <font>
      <b/>
      <i/>
      <sz val="9"/>
      <name val="Times New Roman"/>
      <family val="1"/>
      <charset val="204"/>
    </font>
    <font>
      <b/>
      <sz val="9"/>
      <name val="Times New Roman CYR"/>
      <family val="1"/>
      <charset val="204"/>
    </font>
    <font>
      <b/>
      <sz val="9"/>
      <name val="Times New Roman CYR"/>
      <charset val="204"/>
    </font>
    <font>
      <sz val="9"/>
      <name val="Arial Cyr"/>
      <charset val="204"/>
    </font>
    <font>
      <sz val="10"/>
      <name val="Times New Roman"/>
      <family val="1"/>
      <charset val="204"/>
    </font>
    <font>
      <sz val="6"/>
      <name val="Arial"/>
      <family val="2"/>
      <charset val="204"/>
    </font>
    <font>
      <sz val="8"/>
      <name val="Arial"/>
      <family val="2"/>
      <charset val="204"/>
    </font>
    <font>
      <sz val="8"/>
      <name val="Times New Roman"/>
      <family val="1"/>
      <charset val="204"/>
    </font>
    <font>
      <b/>
      <sz val="14"/>
      <name val="Times New Roman"/>
      <family val="1"/>
      <charset val="204"/>
    </font>
    <font>
      <i/>
      <sz val="9"/>
      <name val="Times New Roman"/>
      <family val="1"/>
      <charset val="204"/>
    </font>
    <font>
      <b/>
      <i/>
      <sz val="9"/>
      <name val="Times New Roman CYR"/>
      <family val="1"/>
      <charset val="204"/>
    </font>
    <font>
      <b/>
      <sz val="9"/>
      <color rgb="FF000000"/>
      <name val="Times New Roman"/>
      <family val="1"/>
      <charset val="204"/>
    </font>
    <font>
      <b/>
      <sz val="10"/>
      <name val="Arial"/>
      <family val="2"/>
      <charset val="204"/>
    </font>
    <font>
      <sz val="11"/>
      <color rgb="FF22272F"/>
      <name val="Times New Roman"/>
      <family val="1"/>
      <charset val="204"/>
    </font>
    <font>
      <sz val="12"/>
      <color rgb="FF22272F"/>
      <name val="Times New Roman"/>
      <family val="1"/>
      <charset val="204"/>
    </font>
  </fonts>
  <fills count="3">
    <fill>
      <patternFill patternType="none"/>
    </fill>
    <fill>
      <patternFill patternType="gray125"/>
    </fill>
    <fill>
      <patternFill patternType="solid">
        <fgColor rgb="FFFFFF00"/>
        <bgColor indexed="64"/>
      </patternFill>
    </fill>
  </fills>
  <borders count="130">
    <border>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style="thin">
        <color indexed="8"/>
      </left>
      <right/>
      <top/>
      <bottom style="thin">
        <color indexed="64"/>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style="medium">
        <color indexed="64"/>
      </left>
      <right style="medium">
        <color indexed="64"/>
      </right>
      <top/>
      <bottom style="medium">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style="thin">
        <color indexed="8"/>
      </left>
      <right style="thin">
        <color auto="1"/>
      </right>
      <top style="thin">
        <color auto="1"/>
      </top>
      <bottom style="thin">
        <color indexed="8"/>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auto="1"/>
      </left>
      <right/>
      <top/>
      <bottom/>
      <diagonal/>
    </border>
    <border>
      <left style="thin">
        <color auto="1"/>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8"/>
      </left>
      <right style="thin">
        <color indexed="64"/>
      </right>
      <top/>
      <bottom style="thin">
        <color indexed="64"/>
      </bottom>
      <diagonal/>
    </border>
    <border>
      <left style="thin">
        <color indexed="8"/>
      </left>
      <right style="thin">
        <color indexed="8"/>
      </right>
      <top style="thin">
        <color indexed="64"/>
      </top>
      <bottom/>
      <diagonal/>
    </border>
    <border>
      <left style="thin">
        <color auto="1"/>
      </left>
      <right style="thin">
        <color auto="1"/>
      </right>
      <top style="thin">
        <color auto="1"/>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top style="thin">
        <color indexed="64"/>
      </top>
      <bottom/>
      <diagonal/>
    </border>
    <border>
      <left/>
      <right/>
      <top/>
      <bottom style="thin">
        <color indexed="64"/>
      </bottom>
      <diagonal/>
    </border>
    <border>
      <left style="thin">
        <color indexed="64"/>
      </left>
      <right style="thin">
        <color auto="1"/>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diagonal/>
    </border>
  </borders>
  <cellStyleXfs count="2">
    <xf numFmtId="0" fontId="0" fillId="0" borderId="0"/>
    <xf numFmtId="0" fontId="5" fillId="0" borderId="0"/>
  </cellStyleXfs>
  <cellXfs count="1022">
    <xf numFmtId="0" fontId="0" fillId="0" borderId="0" xfId="0"/>
    <xf numFmtId="0" fontId="4" fillId="0" borderId="1" xfId="0" applyNumberFormat="1" applyFont="1" applyFill="1" applyBorder="1" applyAlignment="1" applyProtection="1">
      <alignment horizontal="center" vertical="center" wrapText="1" shrinkToFit="1"/>
      <protection locked="0"/>
    </xf>
    <xf numFmtId="0" fontId="9" fillId="0" borderId="3"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horizontal="center" vertical="center" wrapText="1" shrinkToFit="1"/>
      <protection locked="0"/>
    </xf>
    <xf numFmtId="0" fontId="7" fillId="0" borderId="5" xfId="0" applyNumberFormat="1" applyFont="1" applyFill="1" applyBorder="1" applyAlignment="1" applyProtection="1">
      <alignment horizontal="center" vertical="center" wrapText="1" shrinkToFit="1"/>
      <protection locked="0"/>
    </xf>
    <xf numFmtId="14" fontId="7" fillId="0" borderId="5" xfId="0" applyNumberFormat="1" applyFont="1" applyFill="1" applyBorder="1" applyAlignment="1" applyProtection="1">
      <alignment horizontal="center" vertical="center" wrapText="1" shrinkToFit="1"/>
      <protection locked="0"/>
    </xf>
    <xf numFmtId="0" fontId="9" fillId="0" borderId="5" xfId="0" applyNumberFormat="1" applyFont="1" applyFill="1" applyBorder="1" applyAlignment="1" applyProtection="1">
      <alignment horizontal="center" vertical="center" wrapText="1" shrinkToFit="1"/>
      <protection locked="0"/>
    </xf>
    <xf numFmtId="0" fontId="3" fillId="0" borderId="8" xfId="0" applyNumberFormat="1" applyFont="1" applyFill="1" applyBorder="1" applyAlignment="1" applyProtection="1">
      <alignment horizontal="center" vertical="top" wrapText="1" shrinkToFit="1"/>
      <protection locked="0"/>
    </xf>
    <xf numFmtId="0" fontId="9" fillId="0" borderId="10" xfId="0" applyNumberFormat="1" applyFont="1" applyFill="1" applyBorder="1" applyAlignment="1" applyProtection="1">
      <alignment vertical="center" wrapText="1" shrinkToFit="1"/>
      <protection locked="0"/>
    </xf>
    <xf numFmtId="0" fontId="9" fillId="0" borderId="1" xfId="0" applyNumberFormat="1" applyFont="1" applyFill="1" applyBorder="1" applyAlignment="1" applyProtection="1">
      <alignment vertical="center" wrapText="1" shrinkToFit="1"/>
      <protection locked="0"/>
    </xf>
    <xf numFmtId="0" fontId="9" fillId="0" borderId="8" xfId="0" applyNumberFormat="1" applyFont="1" applyFill="1" applyBorder="1" applyAlignment="1" applyProtection="1">
      <alignment vertical="center" wrapText="1" shrinkToFit="1"/>
      <protection locked="0"/>
    </xf>
    <xf numFmtId="164" fontId="4" fillId="0" borderId="11" xfId="0" applyNumberFormat="1" applyFont="1" applyFill="1" applyBorder="1" applyAlignment="1" applyProtection="1">
      <alignment vertical="top" wrapText="1" readingOrder="1"/>
      <protection locked="0"/>
    </xf>
    <xf numFmtId="0" fontId="6" fillId="0" borderId="12" xfId="0" applyNumberFormat="1" applyFont="1" applyFill="1" applyBorder="1" applyAlignment="1" applyProtection="1">
      <alignment horizontal="center" vertical="top" wrapText="1"/>
    </xf>
    <xf numFmtId="0" fontId="11" fillId="0" borderId="1" xfId="0" applyFont="1" applyFill="1" applyBorder="1" applyAlignment="1">
      <alignment horizontal="center" vertical="top"/>
    </xf>
    <xf numFmtId="0" fontId="3" fillId="0" borderId="3"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center" vertical="top" wrapText="1" shrinkToFit="1" readingOrder="1"/>
      <protection locked="0"/>
    </xf>
    <xf numFmtId="0" fontId="3" fillId="0" borderId="2" xfId="0" applyNumberFormat="1" applyFont="1" applyFill="1" applyBorder="1" applyAlignment="1" applyProtection="1">
      <alignment horizontal="center" vertical="top" wrapText="1" shrinkToFit="1" readingOrder="1"/>
      <protection locked="0"/>
    </xf>
    <xf numFmtId="14" fontId="3" fillId="0" borderId="2" xfId="0" applyNumberFormat="1" applyFont="1" applyFill="1" applyBorder="1" applyAlignment="1" applyProtection="1">
      <alignment horizontal="center" vertical="top" wrapText="1" shrinkToFit="1" readingOrder="1"/>
      <protection locked="0"/>
    </xf>
    <xf numFmtId="0" fontId="7" fillId="0" borderId="6" xfId="0" applyNumberFormat="1" applyFont="1" applyFill="1" applyBorder="1" applyAlignment="1" applyProtection="1">
      <alignment horizontal="center" vertical="center" wrapText="1" shrinkToFit="1"/>
      <protection locked="0"/>
    </xf>
    <xf numFmtId="14" fontId="7" fillId="0" borderId="6" xfId="0" applyNumberFormat="1" applyFont="1" applyFill="1" applyBorder="1" applyAlignment="1" applyProtection="1">
      <alignment horizontal="center" vertical="center" wrapText="1" shrinkToFit="1"/>
      <protection locked="0"/>
    </xf>
    <xf numFmtId="0" fontId="2" fillId="0" borderId="0" xfId="0" applyFont="1" applyFill="1"/>
    <xf numFmtId="0" fontId="10" fillId="0" borderId="1" xfId="0" applyNumberFormat="1" applyFont="1" applyFill="1" applyBorder="1" applyAlignment="1" applyProtection="1">
      <alignment horizontal="center" vertical="center" wrapText="1"/>
    </xf>
    <xf numFmtId="4" fontId="12" fillId="0" borderId="5" xfId="0" applyNumberFormat="1" applyFont="1" applyFill="1" applyBorder="1"/>
    <xf numFmtId="0" fontId="0" fillId="0" borderId="0" xfId="0" applyFill="1"/>
    <xf numFmtId="0" fontId="7" fillId="0" borderId="11" xfId="0" applyFont="1" applyFill="1" applyBorder="1" applyAlignment="1" applyProtection="1">
      <alignment vertical="top" wrapText="1" readingOrder="1"/>
      <protection locked="0"/>
    </xf>
    <xf numFmtId="164" fontId="7" fillId="0" borderId="11"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readingOrder="1"/>
      <protection locked="0"/>
    </xf>
    <xf numFmtId="0" fontId="7" fillId="0" borderId="3" xfId="0" applyFont="1" applyFill="1" applyBorder="1" applyAlignment="1" applyProtection="1">
      <alignment horizontal="center" vertical="top" wrapText="1" readingOrder="1"/>
      <protection locked="0"/>
    </xf>
    <xf numFmtId="0" fontId="8" fillId="0" borderId="3" xfId="0" applyFont="1" applyFill="1" applyBorder="1" applyAlignment="1" applyProtection="1">
      <alignment vertical="top" wrapText="1" readingOrder="1"/>
      <protection locked="0"/>
    </xf>
    <xf numFmtId="0" fontId="8" fillId="0" borderId="3" xfId="0" applyFont="1" applyFill="1" applyBorder="1" applyAlignment="1" applyProtection="1">
      <alignment horizontal="center" vertical="top" wrapText="1" readingOrder="1"/>
      <protection locked="0"/>
    </xf>
    <xf numFmtId="0" fontId="8"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top" wrapText="1" readingOrder="1"/>
      <protection locked="0"/>
    </xf>
    <xf numFmtId="164" fontId="4" fillId="0" borderId="1"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readingOrder="1"/>
      <protection locked="0"/>
    </xf>
    <xf numFmtId="0" fontId="4" fillId="0" borderId="15"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vertical="top" wrapText="1" readingOrder="1"/>
      <protection locked="0"/>
    </xf>
    <xf numFmtId="0" fontId="7" fillId="0" borderId="5"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top" wrapText="1" readingOrder="1"/>
      <protection locked="0"/>
    </xf>
    <xf numFmtId="164" fontId="4" fillId="0" borderId="2" xfId="0" applyNumberFormat="1" applyFont="1" applyFill="1" applyBorder="1" applyAlignment="1" applyProtection="1">
      <alignment vertical="top" wrapText="1" readingOrder="1"/>
      <protection locked="0"/>
    </xf>
    <xf numFmtId="0" fontId="4" fillId="0" borderId="1" xfId="0" applyFont="1" applyFill="1" applyBorder="1" applyAlignment="1" applyProtection="1">
      <alignment vertical="top" wrapText="1" readingOrder="1"/>
      <protection locked="0"/>
    </xf>
    <xf numFmtId="0" fontId="7" fillId="0" borderId="2" xfId="0" applyFont="1" applyFill="1" applyBorder="1" applyAlignment="1" applyProtection="1">
      <alignment vertical="top" wrapText="1" readingOrder="1"/>
      <protection locked="0"/>
    </xf>
    <xf numFmtId="164" fontId="7" fillId="0" borderId="2" xfId="0" applyNumberFormat="1" applyFont="1" applyFill="1" applyBorder="1" applyAlignment="1" applyProtection="1">
      <alignment vertical="top" wrapText="1" readingOrder="1"/>
      <protection locked="0"/>
    </xf>
    <xf numFmtId="0" fontId="4" fillId="0" borderId="17" xfId="0" applyFont="1" applyFill="1" applyBorder="1" applyAlignment="1" applyProtection="1">
      <alignment horizontal="center" vertical="top" wrapText="1" readingOrder="1"/>
      <protection locked="0"/>
    </xf>
    <xf numFmtId="164" fontId="4" fillId="0" borderId="7" xfId="0" applyNumberFormat="1" applyFont="1" applyFill="1" applyBorder="1" applyAlignment="1" applyProtection="1">
      <alignment vertical="top" wrapText="1" readingOrder="1"/>
      <protection locked="0"/>
    </xf>
    <xf numFmtId="0" fontId="7" fillId="0" borderId="4" xfId="0" applyFont="1" applyFill="1" applyBorder="1" applyAlignment="1" applyProtection="1">
      <alignment horizontal="center" vertical="top" wrapText="1" readingOrder="1"/>
      <protection locked="0"/>
    </xf>
    <xf numFmtId="0" fontId="7" fillId="0" borderId="17" xfId="0" applyFont="1" applyFill="1" applyBorder="1" applyAlignment="1" applyProtection="1">
      <alignment horizontal="center" vertical="top" wrapText="1" readingOrder="1"/>
      <protection locked="0"/>
    </xf>
    <xf numFmtId="164" fontId="8" fillId="0" borderId="11" xfId="0" applyNumberFormat="1" applyFont="1" applyFill="1" applyBorder="1" applyAlignment="1" applyProtection="1">
      <alignment vertical="top" wrapText="1" readingOrder="1"/>
      <protection locked="0"/>
    </xf>
    <xf numFmtId="164" fontId="4" fillId="0" borderId="14" xfId="0" applyNumberFormat="1" applyFont="1" applyFill="1" applyBorder="1" applyAlignment="1" applyProtection="1">
      <alignment vertical="top" wrapText="1" readingOrder="1"/>
      <protection locked="0"/>
    </xf>
    <xf numFmtId="164" fontId="4" fillId="0" borderId="18" xfId="0" applyNumberFormat="1" applyFont="1" applyFill="1" applyBorder="1" applyAlignment="1" applyProtection="1">
      <alignment vertical="top" wrapText="1" readingOrder="1"/>
      <protection locked="0"/>
    </xf>
    <xf numFmtId="0" fontId="7" fillId="0" borderId="14" xfId="0" applyFont="1" applyFill="1" applyBorder="1" applyAlignment="1" applyProtection="1">
      <alignment horizontal="center" vertical="top" wrapText="1" readingOrder="1"/>
      <protection locked="0"/>
    </xf>
    <xf numFmtId="164" fontId="7" fillId="0" borderId="18" xfId="0" applyNumberFormat="1" applyFont="1" applyFill="1" applyBorder="1" applyAlignment="1" applyProtection="1">
      <alignment vertical="top" wrapText="1" readingOrder="1"/>
      <protection locked="0"/>
    </xf>
    <xf numFmtId="0" fontId="7" fillId="0" borderId="5" xfId="0" applyFont="1" applyFill="1" applyBorder="1" applyAlignment="1" applyProtection="1">
      <alignment vertical="top" wrapText="1" readingOrder="1"/>
      <protection locked="0"/>
    </xf>
    <xf numFmtId="164" fontId="4" fillId="0" borderId="4" xfId="0" applyNumberFormat="1" applyFont="1" applyFill="1" applyBorder="1" applyAlignment="1" applyProtection="1">
      <alignment vertical="top" wrapText="1" readingOrder="1"/>
      <protection locked="0"/>
    </xf>
    <xf numFmtId="49" fontId="4" fillId="0" borderId="7" xfId="0" applyNumberFormat="1" applyFont="1" applyFill="1" applyBorder="1" applyAlignment="1" applyProtection="1">
      <alignment horizontal="center" vertical="top" wrapText="1" readingOrder="1"/>
      <protection locked="0"/>
    </xf>
    <xf numFmtId="49" fontId="4" fillId="0" borderId="14" xfId="0" applyNumberFormat="1" applyFont="1" applyFill="1" applyBorder="1" applyAlignment="1" applyProtection="1">
      <alignment horizontal="center" vertical="top" wrapText="1" readingOrder="1"/>
      <protection locked="0"/>
    </xf>
    <xf numFmtId="49" fontId="4" fillId="0" borderId="17" xfId="0" applyNumberFormat="1" applyFont="1" applyFill="1" applyBorder="1" applyAlignment="1" applyProtection="1">
      <alignment horizontal="center" vertical="top" wrapText="1" readingOrder="1"/>
      <protection locked="0"/>
    </xf>
    <xf numFmtId="49" fontId="4" fillId="0" borderId="15" xfId="0" applyNumberFormat="1" applyFont="1" applyFill="1" applyBorder="1" applyAlignment="1" applyProtection="1">
      <alignment horizontal="center" vertical="top" wrapText="1" readingOrder="1"/>
      <protection locked="0"/>
    </xf>
    <xf numFmtId="164" fontId="7" fillId="0" borderId="1" xfId="0" applyNumberFormat="1" applyFont="1" applyFill="1" applyBorder="1" applyAlignment="1" applyProtection="1">
      <alignment vertical="top" wrapText="1" readingOrder="1"/>
      <protection locked="0"/>
    </xf>
    <xf numFmtId="0" fontId="7" fillId="0" borderId="1" xfId="0" applyFont="1" applyFill="1" applyBorder="1" applyAlignment="1" applyProtection="1">
      <alignment vertical="top" wrapText="1" readingOrder="1"/>
      <protection locked="0"/>
    </xf>
    <xf numFmtId="0" fontId="7" fillId="0" borderId="20" xfId="0" applyFont="1" applyFill="1" applyBorder="1" applyAlignment="1" applyProtection="1">
      <alignment vertical="top" wrapText="1" readingOrder="1"/>
      <protection locked="0"/>
    </xf>
    <xf numFmtId="0" fontId="7" fillId="0" borderId="15"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protection locked="0"/>
    </xf>
    <xf numFmtId="0" fontId="8" fillId="0" borderId="11" xfId="0" applyFont="1" applyFill="1" applyBorder="1" applyAlignment="1" applyProtection="1">
      <alignment vertical="top" wrapText="1" readingOrder="1"/>
      <protection locked="0"/>
    </xf>
    <xf numFmtId="49" fontId="8" fillId="0" borderId="11" xfId="0" applyNumberFormat="1" applyFont="1" applyFill="1" applyBorder="1" applyAlignment="1" applyProtection="1">
      <alignment horizontal="center" vertical="top" wrapText="1" readingOrder="1"/>
      <protection locked="0"/>
    </xf>
    <xf numFmtId="0" fontId="4" fillId="0" borderId="21" xfId="0" applyFont="1" applyFill="1" applyBorder="1" applyAlignment="1" applyProtection="1">
      <alignment horizontal="center" vertical="top" wrapText="1" readingOrder="1"/>
      <protection locked="0"/>
    </xf>
    <xf numFmtId="0" fontId="8" fillId="0" borderId="5" xfId="0" applyFont="1" applyFill="1" applyBorder="1" applyAlignment="1" applyProtection="1">
      <alignment vertical="top" wrapText="1" readingOrder="1"/>
      <protection locked="0"/>
    </xf>
    <xf numFmtId="49" fontId="8" fillId="0" borderId="5" xfId="0" applyNumberFormat="1" applyFont="1" applyFill="1" applyBorder="1" applyAlignment="1" applyProtection="1">
      <alignment horizontal="center" vertical="top" wrapText="1" readingOrder="1"/>
      <protection locked="0"/>
    </xf>
    <xf numFmtId="166" fontId="4" fillId="0" borderId="6" xfId="0" applyNumberFormat="1" applyFont="1" applyFill="1" applyBorder="1" applyAlignment="1" applyProtection="1">
      <alignment vertical="top" wrapText="1" readingOrder="1"/>
      <protection locked="0"/>
    </xf>
    <xf numFmtId="166" fontId="4" fillId="0" borderId="1" xfId="0" applyNumberFormat="1" applyFont="1" applyFill="1" applyBorder="1" applyAlignment="1" applyProtection="1">
      <alignment vertical="top" wrapText="1" readingOrder="1"/>
      <protection locked="0"/>
    </xf>
    <xf numFmtId="166" fontId="4" fillId="0" borderId="18"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protection locked="0"/>
    </xf>
    <xf numFmtId="0" fontId="7" fillId="0" borderId="10" xfId="0" applyFont="1" applyFill="1" applyBorder="1" applyAlignment="1" applyProtection="1">
      <alignment vertical="top" wrapText="1" readingOrder="1"/>
      <protection locked="0"/>
    </xf>
    <xf numFmtId="0" fontId="7" fillId="0" borderId="7" xfId="0" applyFont="1" applyFill="1" applyBorder="1" applyAlignment="1" applyProtection="1">
      <alignment vertical="top" wrapText="1" readingOrder="1"/>
      <protection locked="0"/>
    </xf>
    <xf numFmtId="164" fontId="7" fillId="0" borderId="7" xfId="0" applyNumberFormat="1" applyFont="1" applyFill="1" applyBorder="1" applyAlignment="1" applyProtection="1">
      <alignment vertical="top" wrapText="1" readingOrder="1"/>
      <protection locked="0"/>
    </xf>
    <xf numFmtId="0" fontId="4" fillId="0" borderId="20" xfId="0" applyFont="1" applyFill="1" applyBorder="1" applyAlignment="1" applyProtection="1">
      <alignment vertical="top" wrapText="1" readingOrder="1"/>
      <protection locked="0"/>
    </xf>
    <xf numFmtId="0" fontId="7" fillId="0" borderId="6" xfId="0" applyFont="1" applyFill="1" applyBorder="1" applyAlignment="1" applyProtection="1">
      <alignment vertical="top" wrapText="1" readingOrder="1"/>
      <protection locked="0"/>
    </xf>
    <xf numFmtId="164" fontId="7" fillId="0" borderId="6" xfId="0" applyNumberFormat="1" applyFont="1" applyFill="1" applyBorder="1" applyAlignment="1" applyProtection="1">
      <alignment vertical="top" wrapText="1" readingOrder="1"/>
      <protection locked="0"/>
    </xf>
    <xf numFmtId="164" fontId="7" fillId="0" borderId="5" xfId="0" applyNumberFormat="1" applyFont="1" applyFill="1" applyBorder="1" applyAlignment="1" applyProtection="1">
      <alignment vertical="top" wrapText="1" readingOrder="1"/>
      <protection locked="0"/>
    </xf>
    <xf numFmtId="0" fontId="4" fillId="0" borderId="5" xfId="0" applyFont="1" applyFill="1" applyBorder="1" applyAlignment="1" applyProtection="1">
      <alignment vertical="top" wrapText="1" readingOrder="1"/>
      <protection locked="0"/>
    </xf>
    <xf numFmtId="0" fontId="4" fillId="0" borderId="6" xfId="0" applyFont="1" applyFill="1" applyBorder="1" applyAlignment="1" applyProtection="1">
      <alignment vertical="top" wrapText="1" readingOrder="1"/>
      <protection locked="0"/>
    </xf>
    <xf numFmtId="49" fontId="7" fillId="0" borderId="6" xfId="0" applyNumberFormat="1" applyFont="1" applyFill="1" applyBorder="1" applyAlignment="1" applyProtection="1">
      <alignment horizontal="center" vertical="top" wrapText="1" readingOrder="1"/>
      <protection locked="0"/>
    </xf>
    <xf numFmtId="0" fontId="7" fillId="0" borderId="4" xfId="0" applyFont="1" applyFill="1" applyBorder="1" applyAlignment="1" applyProtection="1">
      <alignment vertical="top" wrapText="1" readingOrder="1"/>
      <protection locked="0"/>
    </xf>
    <xf numFmtId="164" fontId="4" fillId="0" borderId="5" xfId="0" applyNumberFormat="1" applyFont="1" applyFill="1" applyBorder="1" applyAlignment="1" applyProtection="1">
      <alignment vertical="top" wrapText="1" readingOrder="1"/>
      <protection locked="0"/>
    </xf>
    <xf numFmtId="0" fontId="4" fillId="0" borderId="4" xfId="0" applyFont="1" applyFill="1" applyBorder="1" applyAlignment="1" applyProtection="1">
      <alignment vertical="top" wrapText="1" readingOrder="1"/>
      <protection locked="0"/>
    </xf>
    <xf numFmtId="166" fontId="4" fillId="0" borderId="4" xfId="0" applyNumberFormat="1" applyFont="1" applyFill="1" applyBorder="1" applyAlignment="1" applyProtection="1">
      <alignment vertical="top" wrapText="1" readingOrder="1"/>
      <protection locked="0"/>
    </xf>
    <xf numFmtId="0" fontId="4" fillId="0" borderId="3" xfId="0" applyFont="1" applyFill="1" applyBorder="1" applyAlignment="1" applyProtection="1">
      <alignment vertical="top" wrapText="1" readingOrder="1"/>
      <protection locked="0"/>
    </xf>
    <xf numFmtId="166" fontId="4" fillId="0" borderId="5" xfId="0" applyNumberFormat="1" applyFont="1" applyFill="1" applyBorder="1" applyAlignment="1" applyProtection="1">
      <alignment vertical="top" wrapText="1" readingOrder="1"/>
      <protection locked="0"/>
    </xf>
    <xf numFmtId="0" fontId="3" fillId="0" borderId="7" xfId="0" applyNumberFormat="1" applyFont="1" applyFill="1" applyBorder="1" applyAlignment="1" applyProtection="1">
      <alignment horizontal="center" vertical="center" wrapText="1" shrinkToFit="1"/>
      <protection locked="0"/>
    </xf>
    <xf numFmtId="0" fontId="2" fillId="0" borderId="0" xfId="0" applyFont="1" applyFill="1" applyBorder="1"/>
    <xf numFmtId="0" fontId="4" fillId="0" borderId="0" xfId="0" applyFont="1" applyFill="1" applyBorder="1"/>
    <xf numFmtId="0" fontId="7" fillId="0" borderId="0" xfId="0" applyFont="1" applyFill="1" applyBorder="1"/>
    <xf numFmtId="0" fontId="8" fillId="0" borderId="0" xfId="0" applyFont="1" applyFill="1" applyBorder="1"/>
    <xf numFmtId="166" fontId="4" fillId="0" borderId="2" xfId="0" applyNumberFormat="1" applyFont="1" applyFill="1" applyBorder="1" applyAlignment="1" applyProtection="1">
      <alignment vertical="top" wrapText="1" readingOrder="1"/>
      <protection locked="0"/>
    </xf>
    <xf numFmtId="0" fontId="8" fillId="0" borderId="5" xfId="0" applyFont="1" applyFill="1" applyBorder="1" applyAlignment="1" applyProtection="1">
      <alignment horizontal="center" vertical="top" wrapText="1" readingOrder="1"/>
      <protection locked="0"/>
    </xf>
    <xf numFmtId="166" fontId="4" fillId="0" borderId="14" xfId="0" applyNumberFormat="1" applyFont="1" applyFill="1" applyBorder="1" applyAlignment="1" applyProtection="1">
      <alignment vertical="top" wrapText="1" readingOrder="1"/>
      <protection locked="0"/>
    </xf>
    <xf numFmtId="49" fontId="12" fillId="0" borderId="5" xfId="0" applyNumberFormat="1" applyFont="1" applyFill="1" applyBorder="1" applyAlignment="1">
      <alignment horizontal="left" vertical="center"/>
    </xf>
    <xf numFmtId="49" fontId="0" fillId="0" borderId="0" xfId="0" applyNumberFormat="1" applyFill="1" applyAlignment="1">
      <alignment horizontal="center" vertical="center"/>
    </xf>
    <xf numFmtId="49" fontId="12" fillId="0" borderId="5" xfId="0" applyNumberFormat="1" applyFont="1" applyFill="1" applyBorder="1" applyAlignment="1">
      <alignment horizontal="left"/>
    </xf>
    <xf numFmtId="0" fontId="1" fillId="0" borderId="0" xfId="0" applyFont="1" applyFill="1"/>
    <xf numFmtId="49" fontId="0" fillId="0" borderId="0" xfId="0" applyNumberFormat="1" applyFill="1" applyAlignment="1">
      <alignment horizontal="left"/>
    </xf>
    <xf numFmtId="49" fontId="0" fillId="0" borderId="0" xfId="0" applyNumberFormat="1" applyFill="1"/>
    <xf numFmtId="166" fontId="14" fillId="0" borderId="0" xfId="0" applyNumberFormat="1" applyFont="1" applyFill="1"/>
    <xf numFmtId="4" fontId="14" fillId="0" borderId="0" xfId="0" applyNumberFormat="1" applyFont="1" applyFill="1"/>
    <xf numFmtId="4" fontId="13" fillId="0" borderId="0" xfId="0" applyNumberFormat="1" applyFont="1" applyFill="1"/>
    <xf numFmtId="14" fontId="3" fillId="0" borderId="7"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top" wrapText="1" shrinkToFit="1"/>
      <protection locked="0"/>
    </xf>
    <xf numFmtId="166" fontId="4" fillId="0" borderId="10" xfId="0" applyNumberFormat="1" applyFont="1" applyFill="1" applyBorder="1" applyAlignment="1" applyProtection="1">
      <alignment vertical="top" wrapText="1" readingOrder="1"/>
      <protection locked="0"/>
    </xf>
    <xf numFmtId="0" fontId="4" fillId="0" borderId="22" xfId="0" applyFont="1" applyFill="1" applyBorder="1" applyAlignment="1" applyProtection="1">
      <alignment horizontal="center" vertical="top" wrapText="1" readingOrder="1"/>
      <protection locked="0"/>
    </xf>
    <xf numFmtId="49" fontId="4" fillId="0" borderId="24" xfId="0" applyNumberFormat="1" applyFont="1" applyFill="1" applyBorder="1" applyAlignment="1" applyProtection="1">
      <alignment horizontal="center" vertical="top" wrapText="1" readingOrder="1"/>
      <protection locked="0"/>
    </xf>
    <xf numFmtId="0" fontId="4" fillId="0" borderId="25" xfId="0" applyFont="1" applyFill="1" applyBorder="1" applyAlignment="1" applyProtection="1">
      <alignment horizontal="center" vertical="top" wrapText="1" readingOrder="1"/>
      <protection locked="0"/>
    </xf>
    <xf numFmtId="0" fontId="4" fillId="0" borderId="9" xfId="0" applyFont="1" applyFill="1" applyBorder="1" applyAlignment="1" applyProtection="1">
      <alignment horizontal="center" vertical="top" wrapText="1" readingOrder="1"/>
      <protection locked="0"/>
    </xf>
    <xf numFmtId="0" fontId="7" fillId="0" borderId="26" xfId="0" applyFont="1" applyFill="1" applyBorder="1" applyAlignment="1" applyProtection="1">
      <alignment horizontal="center" vertical="top" wrapText="1" readingOrder="1"/>
      <protection locked="0"/>
    </xf>
    <xf numFmtId="49" fontId="8" fillId="0" borderId="26" xfId="0" applyNumberFormat="1" applyFont="1" applyFill="1" applyBorder="1" applyAlignment="1" applyProtection="1">
      <alignment horizontal="center" vertical="top" wrapText="1" readingOrder="1"/>
      <protection locked="0"/>
    </xf>
    <xf numFmtId="49" fontId="4" fillId="0" borderId="16" xfId="0" applyNumberFormat="1" applyFont="1" applyFill="1" applyBorder="1" applyAlignment="1" applyProtection="1">
      <alignment horizontal="center" vertical="top" wrapText="1" readingOrder="1"/>
      <protection locked="0"/>
    </xf>
    <xf numFmtId="0" fontId="7" fillId="0" borderId="9" xfId="0" applyFont="1" applyFill="1" applyBorder="1" applyAlignment="1" applyProtection="1">
      <alignment horizontal="center" vertical="top" wrapText="1" readingOrder="1"/>
      <protection locked="0"/>
    </xf>
    <xf numFmtId="49" fontId="8" fillId="0" borderId="20" xfId="0" applyNumberFormat="1" applyFont="1" applyFill="1" applyBorder="1" applyAlignment="1" applyProtection="1">
      <alignment horizontal="center" vertical="top" wrapText="1" readingOrder="1"/>
      <protection locked="0"/>
    </xf>
    <xf numFmtId="49" fontId="4" fillId="0" borderId="9" xfId="0" applyNumberFormat="1" applyFont="1" applyFill="1" applyBorder="1" applyAlignment="1" applyProtection="1">
      <alignment horizontal="center" vertical="top" wrapText="1" readingOrder="1"/>
      <protection locked="0"/>
    </xf>
    <xf numFmtId="49" fontId="4" fillId="0" borderId="25" xfId="0" applyNumberFormat="1" applyFont="1" applyFill="1" applyBorder="1" applyAlignment="1" applyProtection="1">
      <alignment horizontal="center" vertical="top" wrapText="1" readingOrder="1"/>
      <protection locked="0"/>
    </xf>
    <xf numFmtId="49" fontId="4" fillId="0" borderId="20" xfId="0" applyNumberFormat="1" applyFont="1" applyFill="1" applyBorder="1" applyAlignment="1" applyProtection="1">
      <alignment horizontal="center" vertical="top" wrapText="1" readingOrder="1"/>
      <protection locked="0"/>
    </xf>
    <xf numFmtId="49" fontId="4" fillId="0" borderId="26" xfId="0" applyNumberFormat="1" applyFont="1" applyFill="1" applyBorder="1" applyAlignment="1" applyProtection="1">
      <alignment horizontal="center" vertical="top" wrapText="1" readingOrder="1"/>
      <protection locked="0"/>
    </xf>
    <xf numFmtId="49" fontId="7" fillId="0" borderId="27" xfId="0" applyNumberFormat="1" applyFont="1" applyFill="1" applyBorder="1" applyAlignment="1" applyProtection="1">
      <alignment horizontal="center" vertical="top" wrapText="1" readingOrder="1"/>
      <protection locked="0"/>
    </xf>
    <xf numFmtId="0" fontId="7" fillId="0" borderId="25" xfId="0" applyFont="1" applyFill="1" applyBorder="1" applyAlignment="1" applyProtection="1">
      <alignment horizontal="center" vertical="top" wrapText="1" readingOrder="1"/>
      <protection locked="0"/>
    </xf>
    <xf numFmtId="164" fontId="7" fillId="0" borderId="14" xfId="0" applyNumberFormat="1" applyFont="1" applyFill="1" applyBorder="1" applyAlignment="1" applyProtection="1">
      <alignment vertical="top" wrapText="1" readingOrder="1"/>
      <protection locked="0"/>
    </xf>
    <xf numFmtId="165" fontId="4" fillId="0" borderId="14" xfId="0" applyNumberFormat="1" applyFont="1" applyFill="1" applyBorder="1" applyAlignment="1" applyProtection="1">
      <alignment vertical="top" wrapText="1" readingOrder="1"/>
      <protection locked="0"/>
    </xf>
    <xf numFmtId="165" fontId="4" fillId="0" borderId="1" xfId="0" applyNumberFormat="1" applyFont="1" applyFill="1" applyBorder="1" applyAlignment="1" applyProtection="1">
      <alignment vertical="top" wrapText="1" readingOrder="1"/>
      <protection locked="0"/>
    </xf>
    <xf numFmtId="164" fontId="7" fillId="0" borderId="12" xfId="0" applyNumberFormat="1" applyFont="1" applyFill="1" applyBorder="1" applyAlignment="1" applyProtection="1">
      <alignment vertical="top" wrapText="1" readingOrder="1"/>
      <protection locked="0"/>
    </xf>
    <xf numFmtId="164" fontId="4" fillId="0" borderId="12" xfId="0" applyNumberFormat="1" applyFont="1" applyFill="1" applyBorder="1" applyAlignment="1" applyProtection="1">
      <alignment vertical="top" wrapText="1" readingOrder="1"/>
      <protection locked="0"/>
    </xf>
    <xf numFmtId="164" fontId="4" fillId="0" borderId="10" xfId="0" applyNumberFormat="1" applyFont="1" applyFill="1" applyBorder="1" applyAlignment="1" applyProtection="1">
      <alignment vertical="top" wrapText="1" readingOrder="1"/>
      <protection locked="0"/>
    </xf>
    <xf numFmtId="164" fontId="7" fillId="0" borderId="10" xfId="0" applyNumberFormat="1" applyFont="1" applyFill="1" applyBorder="1" applyAlignment="1" applyProtection="1">
      <alignment vertical="top" wrapText="1" readingOrder="1"/>
      <protection locked="0"/>
    </xf>
    <xf numFmtId="164" fontId="4" fillId="0" borderId="32"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vertical="top" wrapText="1" readingOrder="1"/>
      <protection locked="0"/>
    </xf>
    <xf numFmtId="164" fontId="7" fillId="0" borderId="32" xfId="0" applyNumberFormat="1" applyFont="1" applyFill="1" applyBorder="1" applyAlignment="1" applyProtection="1">
      <alignment vertical="top" wrapText="1" readingOrder="1"/>
      <protection locked="0"/>
    </xf>
    <xf numFmtId="49" fontId="7" fillId="0" borderId="3" xfId="0" applyNumberFormat="1"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center" wrapText="1"/>
    </xf>
    <xf numFmtId="0" fontId="7" fillId="0" borderId="12" xfId="0" applyFont="1" applyFill="1" applyBorder="1" applyAlignment="1" applyProtection="1">
      <alignment vertical="top" wrapText="1" readingOrder="1"/>
      <protection locked="0"/>
    </xf>
    <xf numFmtId="0" fontId="3" fillId="0" borderId="2" xfId="0" applyNumberFormat="1" applyFont="1" applyFill="1" applyBorder="1" applyAlignment="1" applyProtection="1">
      <alignment vertical="top" wrapText="1" shrinkToFit="1"/>
      <protection locked="0"/>
    </xf>
    <xf numFmtId="0" fontId="4" fillId="0" borderId="14" xfId="0" applyNumberFormat="1" applyFont="1" applyFill="1" applyBorder="1" applyAlignment="1" applyProtection="1">
      <alignment horizontal="center" vertical="top" wrapText="1" shrinkToFit="1"/>
      <protection locked="0"/>
    </xf>
    <xf numFmtId="14" fontId="4" fillId="0" borderId="21" xfId="0" applyNumberFormat="1" applyFont="1" applyFill="1" applyBorder="1" applyAlignment="1" applyProtection="1">
      <alignment horizontal="center" vertical="top" wrapText="1" shrinkToFit="1"/>
      <protection locked="0"/>
    </xf>
    <xf numFmtId="14" fontId="3" fillId="0" borderId="5" xfId="0" applyNumberFormat="1" applyFont="1" applyFill="1" applyBorder="1" applyAlignment="1" applyProtection="1">
      <alignment horizontal="center" vertical="top" wrapText="1" shrinkToFit="1"/>
      <protection locked="0"/>
    </xf>
    <xf numFmtId="14" fontId="3" fillId="0" borderId="33" xfId="0" applyNumberFormat="1" applyFont="1" applyFill="1" applyBorder="1" applyAlignment="1" applyProtection="1">
      <alignment horizontal="center" vertical="top" wrapText="1" shrinkToFit="1"/>
      <protection locked="0"/>
    </xf>
    <xf numFmtId="14" fontId="4" fillId="0" borderId="11" xfId="0" applyNumberFormat="1" applyFont="1" applyFill="1" applyBorder="1" applyAlignment="1" applyProtection="1">
      <alignment horizontal="center" vertical="top" wrapText="1" shrinkToFit="1"/>
      <protection locked="0"/>
    </xf>
    <xf numFmtId="0" fontId="4" fillId="0" borderId="1" xfId="1" applyNumberFormat="1" applyFont="1" applyFill="1" applyBorder="1" applyAlignment="1">
      <alignment horizontal="center" vertical="top" wrapText="1"/>
    </xf>
    <xf numFmtId="14" fontId="4"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protection locked="0"/>
    </xf>
    <xf numFmtId="14" fontId="4" fillId="0" borderId="7" xfId="0" applyNumberFormat="1" applyFont="1" applyFill="1" applyBorder="1" applyAlignment="1" applyProtection="1">
      <alignment horizontal="center" vertical="top" wrapText="1" shrinkToFit="1"/>
      <protection locked="0"/>
    </xf>
    <xf numFmtId="0" fontId="9" fillId="0" borderId="5" xfId="0" applyNumberFormat="1" applyFont="1" applyFill="1" applyBorder="1" applyAlignment="1" applyProtection="1">
      <alignment vertical="center" wrapText="1" shrinkToFit="1"/>
      <protection locked="0"/>
    </xf>
    <xf numFmtId="0" fontId="18" fillId="0" borderId="5" xfId="0" applyNumberFormat="1" applyFont="1" applyFill="1" applyBorder="1" applyAlignment="1" applyProtection="1">
      <alignment vertical="center" wrapText="1" shrinkToFit="1"/>
      <protection locked="0"/>
    </xf>
    <xf numFmtId="49" fontId="17" fillId="0" borderId="5" xfId="0" applyNumberFormat="1" applyFont="1" applyFill="1" applyBorder="1" applyAlignment="1" applyProtection="1">
      <alignment horizontal="center" vertical="top" wrapText="1" readingOrder="1"/>
      <protection locked="0"/>
    </xf>
    <xf numFmtId="164" fontId="17" fillId="0" borderId="5" xfId="0" applyNumberFormat="1" applyFont="1" applyFill="1" applyBorder="1" applyAlignment="1" applyProtection="1">
      <alignment vertical="top" wrapText="1" readingOrder="1"/>
      <protection locked="0"/>
    </xf>
    <xf numFmtId="0" fontId="17" fillId="0" borderId="0" xfId="0" applyFont="1" applyFill="1" applyBorder="1"/>
    <xf numFmtId="49" fontId="17" fillId="0" borderId="4" xfId="0" applyNumberFormat="1" applyFont="1" applyFill="1" applyBorder="1" applyAlignment="1" applyProtection="1">
      <alignment horizontal="center" vertical="top" wrapText="1" readingOrder="1"/>
      <protection locked="0"/>
    </xf>
    <xf numFmtId="0" fontId="7" fillId="0" borderId="24" xfId="0" applyFont="1" applyFill="1" applyBorder="1" applyAlignment="1" applyProtection="1">
      <alignment horizontal="center" vertical="center" wrapText="1"/>
      <protection locked="0"/>
    </xf>
    <xf numFmtId="168" fontId="12" fillId="0" borderId="5" xfId="0" applyNumberFormat="1" applyFont="1" applyFill="1" applyBorder="1"/>
    <xf numFmtId="0" fontId="4" fillId="0" borderId="34" xfId="0" applyFont="1" applyFill="1" applyBorder="1" applyAlignment="1" applyProtection="1">
      <alignment horizontal="center" vertical="top" wrapText="1" readingOrder="1"/>
      <protection locked="0"/>
    </xf>
    <xf numFmtId="0" fontId="7" fillId="0" borderId="5" xfId="0" applyNumberFormat="1" applyFont="1" applyFill="1" applyBorder="1" applyAlignment="1" applyProtection="1">
      <alignment horizontal="center" vertical="top" wrapText="1" shrinkToFit="1"/>
      <protection locked="0"/>
    </xf>
    <xf numFmtId="164" fontId="8"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horizontal="left" vertical="top" wrapText="1" readingOrder="1"/>
      <protection locked="0"/>
    </xf>
    <xf numFmtId="0" fontId="4" fillId="0" borderId="3" xfId="0" applyNumberFormat="1" applyFont="1" applyFill="1" applyBorder="1" applyAlignment="1" applyProtection="1">
      <alignment horizontal="center" vertical="top" wrapText="1" shrinkToFit="1"/>
      <protection locked="0"/>
    </xf>
    <xf numFmtId="14" fontId="4" fillId="0" borderId="3" xfId="0" applyNumberFormat="1" applyFont="1" applyFill="1" applyBorder="1" applyAlignment="1" applyProtection="1">
      <alignment horizontal="center" vertical="top" wrapText="1" shrinkToFit="1"/>
      <protection locked="0"/>
    </xf>
    <xf numFmtId="49" fontId="4" fillId="0" borderId="3" xfId="0" applyNumberFormat="1" applyFont="1" applyFill="1" applyBorder="1" applyAlignment="1" applyProtection="1">
      <alignment horizontal="center" vertical="top" wrapText="1" readingOrder="1"/>
      <protection locked="0"/>
    </xf>
    <xf numFmtId="166" fontId="4" fillId="0" borderId="3" xfId="0" applyNumberFormat="1" applyFont="1" applyFill="1" applyBorder="1" applyAlignment="1" applyProtection="1">
      <alignment vertical="top" wrapText="1" readingOrder="1"/>
      <protection locked="0"/>
    </xf>
    <xf numFmtId="49" fontId="4" fillId="0" borderId="37" xfId="0" applyNumberFormat="1" applyFont="1" applyFill="1" applyBorder="1" applyAlignment="1" applyProtection="1">
      <alignment horizontal="center" vertical="top" wrapText="1" readingOrder="1"/>
      <protection locked="0"/>
    </xf>
    <xf numFmtId="49" fontId="4" fillId="0" borderId="38" xfId="0" applyNumberFormat="1" applyFont="1" applyFill="1" applyBorder="1" applyAlignment="1" applyProtection="1">
      <alignment horizontal="center" vertical="top" wrapText="1" readingOrder="1"/>
      <protection locked="0"/>
    </xf>
    <xf numFmtId="49" fontId="4" fillId="0" borderId="18" xfId="0" applyNumberFormat="1" applyFont="1" applyFill="1" applyBorder="1" applyAlignment="1" applyProtection="1">
      <alignment horizontal="center"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49" fontId="4" fillId="0" borderId="21" xfId="0" applyNumberFormat="1" applyFont="1" applyFill="1" applyBorder="1" applyAlignment="1" applyProtection="1">
      <alignment horizontal="center" vertical="top" wrapText="1" readingOrder="1"/>
      <protection locked="0"/>
    </xf>
    <xf numFmtId="164" fontId="7" fillId="0" borderId="3" xfId="0" applyNumberFormat="1" applyFont="1" applyFill="1" applyBorder="1" applyAlignment="1" applyProtection="1">
      <alignment vertical="top" wrapText="1" readingOrder="1"/>
      <protection locked="0"/>
    </xf>
    <xf numFmtId="164" fontId="4" fillId="0" borderId="3" xfId="0" applyNumberFormat="1" applyFont="1" applyFill="1" applyBorder="1" applyAlignment="1" applyProtection="1">
      <alignment vertical="top" wrapText="1" readingOrder="1"/>
      <protection locked="0"/>
    </xf>
    <xf numFmtId="14" fontId="4" fillId="0" borderId="11" xfId="0" applyNumberFormat="1" applyFont="1" applyFill="1" applyBorder="1" applyAlignment="1" applyProtection="1">
      <alignment horizontal="center" vertical="center" wrapText="1" shrinkToFit="1"/>
      <protection locked="0"/>
    </xf>
    <xf numFmtId="14" fontId="3" fillId="0" borderId="3"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0" fontId="9" fillId="0" borderId="3" xfId="0" applyNumberFormat="1" applyFont="1" applyFill="1" applyBorder="1" applyAlignment="1" applyProtection="1">
      <alignment horizontal="center" vertical="top" wrapText="1" shrinkToFit="1"/>
      <protection locked="0"/>
    </xf>
    <xf numFmtId="0" fontId="7" fillId="0" borderId="3" xfId="0" applyNumberFormat="1" applyFont="1" applyFill="1" applyBorder="1" applyAlignment="1" applyProtection="1">
      <alignment horizontal="center" vertical="top" wrapText="1" shrinkToFit="1"/>
      <protection locked="0"/>
    </xf>
    <xf numFmtId="14" fontId="7" fillId="0" borderId="3" xfId="0" applyNumberFormat="1" applyFont="1" applyFill="1" applyBorder="1" applyAlignment="1" applyProtection="1">
      <alignment horizontal="center" vertical="top" wrapText="1" shrinkToFit="1"/>
      <protection locked="0"/>
    </xf>
    <xf numFmtId="0" fontId="9" fillId="0" borderId="11" xfId="0" applyNumberFormat="1" applyFont="1" applyFill="1" applyBorder="1" applyAlignment="1" applyProtection="1">
      <alignment horizontal="center" vertical="top" wrapText="1" shrinkToFit="1"/>
      <protection locked="0"/>
    </xf>
    <xf numFmtId="0" fontId="7" fillId="0" borderId="20" xfId="0" applyNumberFormat="1" applyFont="1" applyFill="1" applyBorder="1" applyAlignment="1" applyProtection="1">
      <alignment horizontal="center" vertical="top" wrapText="1" shrinkToFit="1"/>
      <protection locked="0"/>
    </xf>
    <xf numFmtId="14" fontId="7" fillId="0" borderId="5" xfId="0" applyNumberFormat="1" applyFont="1" applyFill="1" applyBorder="1" applyAlignment="1" applyProtection="1">
      <alignment horizontal="center" vertical="top" wrapText="1" shrinkToFit="1"/>
      <protection locked="0"/>
    </xf>
    <xf numFmtId="0" fontId="7" fillId="0" borderId="39" xfId="0" applyFont="1" applyFill="1" applyBorder="1" applyAlignment="1" applyProtection="1">
      <alignment horizontal="center" vertical="top" wrapText="1" readingOrder="1"/>
      <protection locked="0"/>
    </xf>
    <xf numFmtId="0" fontId="7" fillId="0" borderId="40" xfId="0" applyFont="1" applyFill="1" applyBorder="1" applyAlignment="1" applyProtection="1">
      <alignment horizontal="center" vertical="top" wrapText="1" readingOrder="1"/>
      <protection locked="0"/>
    </xf>
    <xf numFmtId="0" fontId="7" fillId="0" borderId="12" xfId="0" applyFont="1" applyFill="1" applyBorder="1" applyAlignment="1" applyProtection="1">
      <alignment horizontal="center" vertical="top" wrapText="1" readingOrder="1"/>
      <protection locked="0"/>
    </xf>
    <xf numFmtId="0" fontId="7" fillId="0" borderId="3" xfId="1" applyNumberFormat="1" applyFont="1" applyFill="1" applyBorder="1" applyAlignment="1">
      <alignment horizontal="center" vertical="top" wrapText="1"/>
    </xf>
    <xf numFmtId="49" fontId="4" fillId="0" borderId="41" xfId="0" applyNumberFormat="1" applyFont="1" applyFill="1" applyBorder="1" applyAlignment="1" applyProtection="1">
      <alignment horizontal="center" vertical="top" wrapText="1" readingOrder="1"/>
      <protection locked="0"/>
    </xf>
    <xf numFmtId="0" fontId="9" fillId="0" borderId="2" xfId="0" applyNumberFormat="1" applyFont="1" applyFill="1" applyBorder="1" applyAlignment="1" applyProtection="1">
      <alignment horizontal="center" vertical="top" wrapText="1" shrinkToFit="1"/>
      <protection locked="0"/>
    </xf>
    <xf numFmtId="14" fontId="9" fillId="0" borderId="2" xfId="0" applyNumberFormat="1" applyFont="1" applyFill="1" applyBorder="1" applyAlignment="1" applyProtection="1">
      <alignment horizontal="center" vertical="top" wrapText="1" shrinkToFit="1"/>
      <protection locked="0"/>
    </xf>
    <xf numFmtId="0" fontId="7" fillId="0" borderId="2" xfId="0" applyNumberFormat="1" applyFont="1" applyFill="1" applyBorder="1" applyAlignment="1" applyProtection="1">
      <alignment horizontal="center" vertical="top" wrapText="1" shrinkToFit="1"/>
      <protection locked="0"/>
    </xf>
    <xf numFmtId="0" fontId="4" fillId="0" borderId="12" xfId="0" applyFont="1" applyFill="1" applyBorder="1" applyAlignment="1" applyProtection="1">
      <alignment horizontal="center" vertical="top" wrapText="1" readingOrder="1"/>
      <protection locked="0"/>
    </xf>
    <xf numFmtId="0" fontId="4" fillId="0" borderId="32" xfId="0" applyFont="1" applyFill="1" applyBorder="1" applyAlignment="1" applyProtection="1">
      <alignment horizontal="center" vertical="top" wrapText="1" readingOrder="1"/>
      <protection locked="0"/>
    </xf>
    <xf numFmtId="164" fontId="4" fillId="0" borderId="6" xfId="0" applyNumberFormat="1" applyFont="1" applyFill="1" applyBorder="1" applyAlignment="1" applyProtection="1">
      <alignment vertical="top" wrapText="1" readingOrder="1"/>
      <protection locked="0"/>
    </xf>
    <xf numFmtId="4" fontId="4" fillId="0" borderId="5" xfId="0" applyNumberFormat="1" applyFont="1" applyFill="1" applyBorder="1" applyAlignment="1" applyProtection="1">
      <alignment vertical="top" wrapText="1" readingOrder="1"/>
      <protection locked="0"/>
    </xf>
    <xf numFmtId="0" fontId="6" fillId="0" borderId="43"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vertical="top" wrapText="1" shrinkToFit="1"/>
      <protection locked="0"/>
    </xf>
    <xf numFmtId="166" fontId="7" fillId="0" borderId="7" xfId="0" applyNumberFormat="1" applyFont="1" applyFill="1" applyBorder="1" applyAlignment="1" applyProtection="1">
      <alignment vertical="top" wrapText="1" readingOrder="1"/>
      <protection locked="0"/>
    </xf>
    <xf numFmtId="0" fontId="17" fillId="0" borderId="1" xfId="0" applyFont="1" applyFill="1" applyBorder="1" applyAlignment="1" applyProtection="1">
      <alignment vertical="top" wrapText="1" readingOrder="1"/>
      <protection locked="0"/>
    </xf>
    <xf numFmtId="0" fontId="17" fillId="0" borderId="4" xfId="0" applyFont="1" applyFill="1" applyBorder="1" applyAlignment="1" applyProtection="1">
      <alignment vertical="top" wrapText="1" readingOrder="1"/>
      <protection locked="0"/>
    </xf>
    <xf numFmtId="0" fontId="7" fillId="0" borderId="10" xfId="0" applyFont="1" applyFill="1" applyBorder="1" applyAlignment="1" applyProtection="1">
      <alignment horizontal="center" vertical="top" wrapText="1" readingOrder="1"/>
      <protection locked="0"/>
    </xf>
    <xf numFmtId="0" fontId="2" fillId="0" borderId="0" xfId="0" applyFont="1" applyFill="1" applyAlignment="1">
      <alignment horizontal="center" vertical="top"/>
    </xf>
    <xf numFmtId="0" fontId="3" fillId="0" borderId="17"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vertical="top" wrapText="1" shrinkToFit="1"/>
      <protection locked="0"/>
    </xf>
    <xf numFmtId="0" fontId="4" fillId="0" borderId="12" xfId="0" applyNumberFormat="1" applyFont="1" applyFill="1" applyBorder="1" applyAlignment="1" applyProtection="1">
      <alignment horizontal="center" vertical="top" wrapText="1" shrinkToFit="1"/>
      <protection locked="0"/>
    </xf>
    <xf numFmtId="0" fontId="4" fillId="0" borderId="21" xfId="0" applyNumberFormat="1" applyFont="1" applyFill="1" applyBorder="1" applyAlignment="1" applyProtection="1">
      <alignment horizontal="center" vertical="top" wrapText="1" shrinkToFit="1"/>
      <protection locked="0"/>
    </xf>
    <xf numFmtId="0" fontId="4" fillId="0" borderId="2" xfId="1" applyNumberFormat="1" applyFont="1" applyFill="1" applyBorder="1" applyAlignment="1">
      <alignment horizontal="center" vertical="top" wrapText="1"/>
    </xf>
    <xf numFmtId="14" fontId="6" fillId="0" borderId="5" xfId="0" applyNumberFormat="1" applyFont="1" applyFill="1" applyBorder="1" applyAlignment="1" applyProtection="1">
      <alignment horizontal="center" vertical="top" wrapText="1" shrinkToFit="1"/>
      <protection locked="0"/>
    </xf>
    <xf numFmtId="0" fontId="4" fillId="0" borderId="11" xfId="1" applyNumberFormat="1" applyFont="1" applyFill="1" applyBorder="1" applyAlignment="1">
      <alignment horizontal="center" vertical="top" wrapText="1"/>
    </xf>
    <xf numFmtId="0" fontId="3" fillId="0" borderId="44" xfId="0" applyNumberFormat="1" applyFont="1" applyFill="1" applyBorder="1" applyAlignment="1" applyProtection="1">
      <alignment horizontal="center" vertical="top" wrapText="1" shrinkToFit="1"/>
      <protection locked="0"/>
    </xf>
    <xf numFmtId="0" fontId="3" fillId="0" borderId="39" xfId="0" applyNumberFormat="1" applyFont="1" applyFill="1" applyBorder="1" applyAlignment="1" applyProtection="1">
      <alignment horizontal="center" vertical="top" wrapText="1" shrinkToFit="1"/>
      <protection locked="0"/>
    </xf>
    <xf numFmtId="14" fontId="3" fillId="0" borderId="39" xfId="0" applyNumberFormat="1" applyFont="1" applyFill="1" applyBorder="1" applyAlignment="1" applyProtection="1">
      <alignment horizontal="center" vertical="top" wrapText="1" shrinkToFit="1"/>
      <protection locked="0"/>
    </xf>
    <xf numFmtId="0" fontId="3" fillId="0" borderId="35" xfId="0" applyNumberFormat="1" applyFont="1" applyFill="1" applyBorder="1" applyAlignment="1" applyProtection="1">
      <alignment horizontal="center" vertical="top" wrapText="1" shrinkToFit="1"/>
      <protection locked="0"/>
    </xf>
    <xf numFmtId="0" fontId="3" fillId="0" borderId="30" xfId="0" applyNumberFormat="1" applyFont="1" applyFill="1" applyBorder="1" applyAlignment="1" applyProtection="1">
      <alignment horizontal="center" vertical="top" wrapText="1" shrinkToFit="1"/>
      <protection locked="0"/>
    </xf>
    <xf numFmtId="0" fontId="3" fillId="0" borderId="45" xfId="0" applyNumberFormat="1" applyFont="1" applyFill="1" applyBorder="1" applyAlignment="1" applyProtection="1">
      <alignment horizontal="center" vertical="top" wrapText="1" shrinkToFit="1"/>
      <protection locked="0"/>
    </xf>
    <xf numFmtId="14" fontId="3" fillId="0" borderId="18" xfId="0" applyNumberFormat="1" applyFont="1" applyFill="1" applyBorder="1" applyAlignment="1" applyProtection="1">
      <alignment horizontal="center" vertical="top" wrapText="1" shrinkToFit="1"/>
      <protection locked="0"/>
    </xf>
    <xf numFmtId="14" fontId="3" fillId="0" borderId="19"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top" wrapText="1" shrinkToFit="1"/>
      <protection locked="0"/>
    </xf>
    <xf numFmtId="14" fontId="3" fillId="0" borderId="3" xfId="0" applyNumberFormat="1" applyFont="1" applyFill="1" applyBorder="1" applyAlignment="1" applyProtection="1">
      <alignment horizontal="center" vertical="top" wrapText="1" shrinkToFit="1"/>
      <protection locked="0"/>
    </xf>
    <xf numFmtId="0" fontId="4" fillId="0" borderId="30" xfId="0" applyNumberFormat="1" applyFont="1" applyFill="1" applyBorder="1" applyAlignment="1" applyProtection="1">
      <alignment horizontal="center" vertical="top" wrapText="1" shrinkToFit="1"/>
      <protection locked="0"/>
    </xf>
    <xf numFmtId="14" fontId="4" fillId="0" borderId="45" xfId="0" applyNumberFormat="1" applyFont="1" applyFill="1" applyBorder="1" applyAlignment="1" applyProtection="1">
      <alignment horizontal="center" vertical="top" wrapText="1" shrinkToFit="1"/>
      <protection locked="0"/>
    </xf>
    <xf numFmtId="14" fontId="3" fillId="0" borderId="8" xfId="0" applyNumberFormat="1" applyFont="1" applyFill="1" applyBorder="1" applyAlignment="1" applyProtection="1">
      <alignment horizontal="center" vertical="top" wrapText="1" shrinkToFit="1"/>
      <protection locked="0"/>
    </xf>
    <xf numFmtId="0" fontId="3" fillId="0" borderId="7" xfId="1" applyNumberFormat="1" applyFont="1" applyFill="1" applyBorder="1" applyAlignment="1">
      <alignment horizontal="center" vertical="top" wrapText="1"/>
    </xf>
    <xf numFmtId="0" fontId="4" fillId="0" borderId="6" xfId="0" applyNumberFormat="1" applyFont="1" applyFill="1" applyBorder="1" applyAlignment="1" applyProtection="1">
      <alignment horizontal="center" vertical="center" wrapText="1" shrinkToFit="1"/>
      <protection locked="0"/>
    </xf>
    <xf numFmtId="14" fontId="4" fillId="0" borderId="16" xfId="0" applyNumberFormat="1" applyFont="1" applyFill="1" applyBorder="1" applyAlignment="1" applyProtection="1">
      <alignment horizontal="center" vertical="top" wrapText="1" shrinkToFit="1"/>
      <protection locked="0"/>
    </xf>
    <xf numFmtId="166" fontId="7" fillId="0" borderId="6" xfId="0" applyNumberFormat="1" applyFont="1" applyFill="1" applyBorder="1" applyAlignment="1" applyProtection="1">
      <alignment vertical="top" wrapText="1" readingOrder="1"/>
      <protection locked="0"/>
    </xf>
    <xf numFmtId="0" fontId="6" fillId="0" borderId="2" xfId="0" applyNumberFormat="1" applyFont="1" applyFill="1" applyBorder="1" applyAlignment="1" applyProtection="1">
      <alignment horizontal="center" vertical="center" wrapText="1" shrinkToFit="1"/>
      <protection locked="0"/>
    </xf>
    <xf numFmtId="164" fontId="4" fillId="0" borderId="23" xfId="0" applyNumberFormat="1" applyFont="1" applyFill="1" applyBorder="1" applyAlignment="1" applyProtection="1">
      <alignment vertical="top" wrapText="1" readingOrder="1"/>
      <protection locked="0"/>
    </xf>
    <xf numFmtId="165" fontId="4" fillId="0" borderId="2" xfId="0" applyNumberFormat="1" applyFont="1" applyFill="1" applyBorder="1" applyAlignment="1" applyProtection="1">
      <alignment vertical="top" wrapText="1" readingOrder="1"/>
      <protection locked="0"/>
    </xf>
    <xf numFmtId="49" fontId="4" fillId="0" borderId="10" xfId="0" applyNumberFormat="1" applyFont="1" applyFill="1" applyBorder="1" applyAlignment="1" applyProtection="1">
      <alignment horizontal="center" vertical="top" wrapText="1" readingOrder="1"/>
      <protection locked="0"/>
    </xf>
    <xf numFmtId="165" fontId="4" fillId="0" borderId="5" xfId="0" applyNumberFormat="1" applyFont="1" applyFill="1" applyBorder="1" applyAlignment="1" applyProtection="1">
      <alignment vertical="top" wrapText="1" readingOrder="1"/>
      <protection locked="0"/>
    </xf>
    <xf numFmtId="49" fontId="7" fillId="0" borderId="1" xfId="0" applyNumberFormat="1" applyFont="1" applyFill="1" applyBorder="1" applyAlignment="1" applyProtection="1">
      <alignment horizontal="center" vertical="top" wrapText="1" readingOrder="1"/>
      <protection locked="0"/>
    </xf>
    <xf numFmtId="0" fontId="4" fillId="0" borderId="3" xfId="0" applyNumberFormat="1" applyFont="1" applyFill="1" applyBorder="1" applyAlignment="1" applyProtection="1">
      <alignment horizontal="center" vertical="center" wrapText="1" shrinkToFit="1"/>
      <protection locked="0"/>
    </xf>
    <xf numFmtId="14" fontId="4" fillId="0" borderId="3" xfId="0" applyNumberFormat="1" applyFont="1" applyFill="1" applyBorder="1" applyAlignment="1" applyProtection="1">
      <alignment horizontal="center" vertical="center" wrapText="1" shrinkToFit="1"/>
      <protection locked="0"/>
    </xf>
    <xf numFmtId="0" fontId="4" fillId="0" borderId="25"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vertical="top" wrapText="1" shrinkToFit="1"/>
      <protection locked="0"/>
    </xf>
    <xf numFmtId="0" fontId="7" fillId="0" borderId="48" xfId="0" applyFont="1" applyFill="1" applyBorder="1" applyAlignment="1" applyProtection="1">
      <alignment horizontal="center" vertical="top" wrapText="1" readingOrder="1"/>
      <protection locked="0"/>
    </xf>
    <xf numFmtId="164" fontId="7" fillId="0" borderId="34" xfId="0" applyNumberFormat="1" applyFont="1" applyFill="1" applyBorder="1" applyAlignment="1" applyProtection="1">
      <alignment vertical="top" wrapText="1" readingOrder="1"/>
      <protection locked="0"/>
    </xf>
    <xf numFmtId="4" fontId="12" fillId="0" borderId="0" xfId="0" applyNumberFormat="1" applyFont="1" applyFill="1"/>
    <xf numFmtId="4" fontId="15" fillId="0" borderId="0" xfId="0" applyNumberFormat="1" applyFont="1" applyFill="1"/>
    <xf numFmtId="14" fontId="6" fillId="0" borderId="2" xfId="0" applyNumberFormat="1" applyFont="1" applyFill="1" applyBorder="1" applyAlignment="1" applyProtection="1">
      <alignment horizontal="center" vertical="top" wrapText="1"/>
    </xf>
    <xf numFmtId="166" fontId="7" fillId="0" borderId="11" xfId="0" applyNumberFormat="1" applyFont="1" applyFill="1" applyBorder="1" applyAlignment="1" applyProtection="1">
      <alignment vertical="top" wrapText="1" readingOrder="1"/>
      <protection locked="0"/>
    </xf>
    <xf numFmtId="164" fontId="7" fillId="0" borderId="39" xfId="0" applyNumberFormat="1" applyFont="1" applyFill="1" applyBorder="1" applyAlignment="1" applyProtection="1">
      <alignment vertical="top" wrapText="1" readingOrder="1"/>
      <protection locked="0"/>
    </xf>
    <xf numFmtId="49" fontId="17" fillId="0" borderId="6"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protection locked="0"/>
    </xf>
    <xf numFmtId="166" fontId="4" fillId="0" borderId="11" xfId="0" applyNumberFormat="1" applyFont="1" applyFill="1" applyBorder="1" applyAlignment="1" applyProtection="1">
      <alignment vertical="top" wrapText="1" readingOrder="1"/>
      <protection locked="0"/>
    </xf>
    <xf numFmtId="0" fontId="3" fillId="0" borderId="11" xfId="1" applyNumberFormat="1" applyFont="1" applyFill="1" applyBorder="1" applyAlignment="1">
      <alignment horizontal="center" vertical="top" wrapText="1"/>
    </xf>
    <xf numFmtId="0" fontId="6" fillId="0" borderId="3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vertical="center" wrapText="1" readingOrder="1"/>
    </xf>
    <xf numFmtId="0" fontId="6"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top" wrapText="1" readingOrder="1"/>
    </xf>
    <xf numFmtId="0" fontId="7" fillId="0" borderId="7"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readingOrder="1"/>
      <protection locked="0"/>
    </xf>
    <xf numFmtId="14" fontId="3" fillId="0" borderId="37" xfId="0" applyNumberFormat="1" applyFont="1" applyFill="1" applyBorder="1" applyAlignment="1" applyProtection="1">
      <alignment horizontal="center" vertical="top" wrapText="1" shrinkToFit="1"/>
      <protection locked="0"/>
    </xf>
    <xf numFmtId="0" fontId="3" fillId="0" borderId="36" xfId="0" applyNumberFormat="1" applyFont="1" applyFill="1" applyBorder="1" applyAlignment="1" applyProtection="1">
      <alignment horizontal="center" vertical="top" wrapText="1" shrinkToFit="1"/>
      <protection locked="0"/>
    </xf>
    <xf numFmtId="0" fontId="4" fillId="0" borderId="50" xfId="0" applyFont="1" applyFill="1" applyBorder="1" applyAlignment="1" applyProtection="1">
      <alignment horizontal="center" vertical="top" wrapText="1" readingOrder="1"/>
      <protection locked="0"/>
    </xf>
    <xf numFmtId="0" fontId="4" fillId="0" borderId="7" xfId="0" applyNumberFormat="1" applyFont="1" applyFill="1" applyBorder="1" applyAlignment="1" applyProtection="1">
      <alignment horizontal="center" vertical="top" wrapText="1" shrinkToFit="1"/>
      <protection locked="0"/>
    </xf>
    <xf numFmtId="166" fontId="4" fillId="0" borderId="32" xfId="0" applyNumberFormat="1" applyFont="1" applyFill="1" applyBorder="1" applyAlignment="1" applyProtection="1">
      <alignment vertical="top" wrapText="1" readingOrder="1"/>
      <protection locked="0"/>
    </xf>
    <xf numFmtId="0" fontId="4" fillId="0" borderId="2"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top" wrapText="1"/>
    </xf>
    <xf numFmtId="0" fontId="3" fillId="0" borderId="6" xfId="1" applyNumberFormat="1" applyFont="1" applyFill="1" applyBorder="1" applyAlignment="1">
      <alignment horizontal="center" vertical="top" wrapText="1"/>
    </xf>
    <xf numFmtId="0" fontId="4" fillId="0" borderId="7" xfId="1" applyNumberFormat="1" applyFont="1" applyFill="1" applyBorder="1" applyAlignment="1">
      <alignment horizontal="center" vertical="top" wrapText="1"/>
    </xf>
    <xf numFmtId="0" fontId="3" fillId="0" borderId="1" xfId="1" applyNumberFormat="1" applyFont="1" applyFill="1" applyBorder="1" applyAlignment="1">
      <alignment horizontal="center" vertical="top" wrapText="1"/>
    </xf>
    <xf numFmtId="0" fontId="6" fillId="0" borderId="2" xfId="0" applyNumberFormat="1" applyFont="1" applyFill="1" applyBorder="1" applyAlignment="1" applyProtection="1">
      <alignment vertical="top" wrapText="1"/>
    </xf>
    <xf numFmtId="0" fontId="6" fillId="0" borderId="10" xfId="0" applyNumberFormat="1" applyFont="1" applyFill="1" applyBorder="1" applyAlignment="1" applyProtection="1">
      <alignment vertical="top" wrapText="1"/>
    </xf>
    <xf numFmtId="165" fontId="4" fillId="0" borderId="7" xfId="0" applyNumberFormat="1" applyFont="1" applyFill="1" applyBorder="1" applyAlignment="1" applyProtection="1">
      <alignment vertical="top" wrapText="1" readingOrder="1"/>
      <protection locked="0"/>
    </xf>
    <xf numFmtId="49" fontId="4" fillId="0" borderId="51" xfId="0" applyNumberFormat="1" applyFont="1" applyFill="1" applyBorder="1" applyAlignment="1" applyProtection="1">
      <alignment horizontal="center" vertical="top" wrapText="1" readingOrder="1"/>
      <protection locked="0"/>
    </xf>
    <xf numFmtId="0" fontId="7" fillId="0" borderId="11" xfId="0" applyFont="1" applyFill="1" applyBorder="1" applyAlignment="1" applyProtection="1">
      <alignment vertical="top" wrapText="1"/>
      <protection locked="0"/>
    </xf>
    <xf numFmtId="0" fontId="7" fillId="0" borderId="11" xfId="0" applyFont="1" applyFill="1" applyBorder="1" applyAlignment="1" applyProtection="1">
      <alignment horizontal="center" vertical="top" wrapText="1"/>
      <protection locked="0"/>
    </xf>
    <xf numFmtId="164" fontId="4" fillId="0" borderId="34" xfId="0" applyNumberFormat="1" applyFont="1" applyFill="1" applyBorder="1" applyAlignment="1" applyProtection="1">
      <alignment vertical="top" wrapText="1" readingOrder="1"/>
      <protection locked="0"/>
    </xf>
    <xf numFmtId="0" fontId="3" fillId="0" borderId="12" xfId="0" applyNumberFormat="1" applyFont="1" applyFill="1" applyBorder="1" applyAlignment="1" applyProtection="1">
      <alignment horizontal="center" vertical="top" wrapText="1" shrinkToFit="1"/>
      <protection locked="0"/>
    </xf>
    <xf numFmtId="0" fontId="7" fillId="0" borderId="20" xfId="0"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top" wrapText="1"/>
    </xf>
    <xf numFmtId="0" fontId="3" fillId="0" borderId="8" xfId="0" applyNumberFormat="1" applyFont="1" applyFill="1" applyBorder="1" applyAlignment="1" applyProtection="1">
      <alignment horizontal="center" vertical="center" wrapText="1" shrinkToFit="1"/>
      <protection locked="0"/>
    </xf>
    <xf numFmtId="0" fontId="4" fillId="0" borderId="5" xfId="0" applyFont="1" applyFill="1" applyBorder="1" applyAlignment="1" applyProtection="1">
      <alignment horizontal="left" vertical="top" wrapText="1" readingOrder="1"/>
      <protection locked="0"/>
    </xf>
    <xf numFmtId="0" fontId="4" fillId="0" borderId="52" xfId="0" applyFont="1" applyFill="1" applyBorder="1" applyAlignment="1" applyProtection="1">
      <alignment horizontal="center" vertical="top" wrapText="1" readingOrder="1"/>
      <protection locked="0"/>
    </xf>
    <xf numFmtId="164" fontId="4" fillId="0" borderId="20" xfId="0" applyNumberFormat="1" applyFont="1" applyFill="1" applyBorder="1" applyAlignment="1" applyProtection="1">
      <alignment vertical="top" wrapText="1" readingOrder="1"/>
      <protection locked="0"/>
    </xf>
    <xf numFmtId="164" fontId="4" fillId="0" borderId="16" xfId="0" applyNumberFormat="1" applyFont="1" applyFill="1" applyBorder="1" applyAlignment="1" applyProtection="1">
      <alignment vertical="top" wrapText="1" readingOrder="1"/>
      <protection locked="0"/>
    </xf>
    <xf numFmtId="164" fontId="4" fillId="0" borderId="27" xfId="0" applyNumberFormat="1" applyFont="1" applyFill="1" applyBorder="1" applyAlignment="1" applyProtection="1">
      <alignment vertical="top" wrapText="1" readingOrder="1"/>
      <protection locked="0"/>
    </xf>
    <xf numFmtId="164" fontId="4" fillId="0" borderId="52" xfId="0" applyNumberFormat="1" applyFont="1" applyFill="1" applyBorder="1" applyAlignment="1" applyProtection="1">
      <alignment vertical="top" wrapText="1" readingOrder="1"/>
      <protection locked="0"/>
    </xf>
    <xf numFmtId="166" fontId="4" fillId="0" borderId="52" xfId="0" applyNumberFormat="1" applyFont="1" applyFill="1" applyBorder="1" applyAlignment="1" applyProtection="1">
      <alignment vertical="top" wrapText="1" readingOrder="1"/>
      <protection locked="0"/>
    </xf>
    <xf numFmtId="164" fontId="7" fillId="0" borderId="16" xfId="0" applyNumberFormat="1" applyFont="1" applyFill="1" applyBorder="1" applyAlignment="1" applyProtection="1">
      <alignment vertical="top" wrapText="1" readingOrder="1"/>
      <protection locked="0"/>
    </xf>
    <xf numFmtId="166" fontId="4" fillId="0" borderId="27" xfId="0" applyNumberFormat="1" applyFont="1" applyFill="1" applyBorder="1" applyAlignment="1" applyProtection="1">
      <alignment vertical="top" wrapText="1" readingOrder="1"/>
      <protection locked="0"/>
    </xf>
    <xf numFmtId="164" fontId="7" fillId="0" borderId="20" xfId="0" applyNumberFormat="1" applyFont="1" applyFill="1" applyBorder="1" applyAlignment="1" applyProtection="1">
      <alignment vertical="top" wrapText="1" readingOrder="1"/>
      <protection locked="0"/>
    </xf>
    <xf numFmtId="164" fontId="7" fillId="0" borderId="27" xfId="0" applyNumberFormat="1" applyFont="1" applyFill="1" applyBorder="1" applyAlignment="1" applyProtection="1">
      <alignment vertical="top" wrapText="1" readingOrder="1"/>
      <protection locked="0"/>
    </xf>
    <xf numFmtId="166" fontId="4" fillId="0" borderId="16" xfId="0" applyNumberFormat="1" applyFont="1" applyFill="1" applyBorder="1" applyAlignment="1" applyProtection="1">
      <alignment vertical="top" wrapText="1" readingOrder="1"/>
      <protection locked="0"/>
    </xf>
    <xf numFmtId="164" fontId="4" fillId="0" borderId="51" xfId="0" applyNumberFormat="1" applyFont="1" applyFill="1" applyBorder="1" applyAlignment="1" applyProtection="1">
      <alignment vertical="top" wrapText="1" readingOrder="1"/>
      <protection locked="0"/>
    </xf>
    <xf numFmtId="0" fontId="4" fillId="0" borderId="36" xfId="0" applyNumberFormat="1" applyFont="1" applyFill="1" applyBorder="1" applyAlignment="1" applyProtection="1">
      <alignment horizontal="center" vertical="top" wrapText="1" shrinkToFit="1"/>
      <protection locked="0"/>
    </xf>
    <xf numFmtId="0" fontId="4" fillId="0" borderId="16" xfId="0" applyFont="1" applyFill="1" applyBorder="1" applyAlignment="1" applyProtection="1">
      <alignment vertical="top" wrapText="1" readingOrder="1"/>
      <protection locked="0"/>
    </xf>
    <xf numFmtId="0" fontId="3" fillId="0" borderId="4" xfId="0" applyNumberFormat="1" applyFont="1" applyFill="1" applyBorder="1" applyAlignment="1" applyProtection="1">
      <alignment vertical="top" wrapText="1" shrinkToFit="1"/>
      <protection locked="0"/>
    </xf>
    <xf numFmtId="4" fontId="4" fillId="0" borderId="32" xfId="0" applyNumberFormat="1" applyFont="1" applyFill="1" applyBorder="1" applyAlignment="1" applyProtection="1">
      <alignment horizontal="right" vertical="center" wrapText="1" readingOrder="1"/>
      <protection locked="0"/>
    </xf>
    <xf numFmtId="166" fontId="4" fillId="0" borderId="20" xfId="0" applyNumberFormat="1" applyFont="1" applyFill="1" applyBorder="1" applyAlignment="1" applyProtection="1">
      <alignment vertical="top" wrapText="1" readingOrder="1"/>
      <protection locked="0"/>
    </xf>
    <xf numFmtId="166" fontId="4" fillId="0" borderId="12" xfId="0" applyNumberFormat="1" applyFont="1" applyFill="1" applyBorder="1" applyAlignment="1" applyProtection="1">
      <alignment vertical="top" wrapText="1" readingOrder="1"/>
      <protection locked="0"/>
    </xf>
    <xf numFmtId="0" fontId="7" fillId="0" borderId="57" xfId="0" applyFont="1" applyFill="1" applyBorder="1" applyAlignment="1" applyProtection="1">
      <alignment vertical="top" wrapText="1" readingOrder="1"/>
      <protection locked="0"/>
    </xf>
    <xf numFmtId="0" fontId="7" fillId="0" borderId="57" xfId="0" applyFont="1" applyFill="1" applyBorder="1" applyAlignment="1" applyProtection="1">
      <alignment horizontal="center" vertical="top" wrapText="1" readingOrder="1"/>
      <protection locked="0"/>
    </xf>
    <xf numFmtId="0" fontId="7" fillId="0" borderId="57" xfId="1" applyNumberFormat="1" applyFont="1" applyFill="1" applyBorder="1" applyAlignment="1">
      <alignment horizontal="center" vertical="center" wrapText="1"/>
    </xf>
    <xf numFmtId="0" fontId="7" fillId="0" borderId="57" xfId="0" applyNumberFormat="1" applyFont="1" applyFill="1" applyBorder="1" applyAlignment="1" applyProtection="1">
      <alignment horizontal="center" vertical="center" wrapText="1" shrinkToFit="1"/>
      <protection locked="0"/>
    </xf>
    <xf numFmtId="49" fontId="4" fillId="0" borderId="57" xfId="0" applyNumberFormat="1" applyFont="1" applyFill="1" applyBorder="1" applyAlignment="1" applyProtection="1">
      <alignment horizontal="center" vertical="top" wrapText="1" readingOrder="1"/>
      <protection locked="0"/>
    </xf>
    <xf numFmtId="0" fontId="6" fillId="0" borderId="57" xfId="0" applyNumberFormat="1" applyFont="1" applyFill="1" applyBorder="1" applyAlignment="1" applyProtection="1">
      <alignment horizontal="center" vertical="top" wrapText="1"/>
    </xf>
    <xf numFmtId="0" fontId="4" fillId="0" borderId="57" xfId="1" applyNumberFormat="1" applyFont="1" applyFill="1" applyBorder="1" applyAlignment="1">
      <alignment horizontal="center" vertical="top" wrapText="1"/>
    </xf>
    <xf numFmtId="0" fontId="4" fillId="0" borderId="57" xfId="0" applyNumberFormat="1" applyFont="1" applyFill="1" applyBorder="1" applyAlignment="1" applyProtection="1">
      <alignment horizontal="center" vertical="top" wrapText="1" shrinkToFit="1"/>
      <protection locked="0"/>
    </xf>
    <xf numFmtId="164" fontId="4" fillId="0" borderId="35" xfId="0" applyNumberFormat="1" applyFont="1" applyFill="1" applyBorder="1" applyAlignment="1" applyProtection="1">
      <alignment vertical="top" wrapText="1" readingOrder="1"/>
      <protection locked="0"/>
    </xf>
    <xf numFmtId="0" fontId="7" fillId="0" borderId="5" xfId="1" applyNumberFormat="1" applyFont="1" applyFill="1" applyBorder="1" applyAlignment="1">
      <alignment horizontal="center" vertical="center" wrapText="1"/>
    </xf>
    <xf numFmtId="49" fontId="7" fillId="0" borderId="57" xfId="0" applyNumberFormat="1" applyFont="1" applyFill="1" applyBorder="1" applyAlignment="1" applyProtection="1">
      <alignment horizontal="center" vertical="top" wrapText="1" readingOrder="1"/>
      <protection locked="0"/>
    </xf>
    <xf numFmtId="0" fontId="4" fillId="0" borderId="57" xfId="0" applyFont="1" applyFill="1" applyBorder="1" applyAlignment="1" applyProtection="1">
      <alignment vertical="top" wrapText="1"/>
      <protection locked="0"/>
    </xf>
    <xf numFmtId="0" fontId="4" fillId="0" borderId="57" xfId="0" applyFont="1" applyFill="1" applyBorder="1" applyAlignment="1" applyProtection="1">
      <alignment horizontal="center" vertical="top" wrapText="1"/>
      <protection locked="0"/>
    </xf>
    <xf numFmtId="0" fontId="4" fillId="0" borderId="55" xfId="0" applyNumberFormat="1" applyFont="1" applyFill="1" applyBorder="1" applyAlignment="1" applyProtection="1">
      <alignment horizontal="center" vertical="top" wrapText="1" shrinkToFit="1"/>
      <protection locked="0"/>
    </xf>
    <xf numFmtId="0" fontId="4" fillId="0" borderId="52" xfId="0" applyNumberFormat="1" applyFont="1" applyFill="1" applyBorder="1" applyAlignment="1" applyProtection="1">
      <alignment horizontal="center" vertical="top" wrapText="1" shrinkToFit="1"/>
      <protection locked="0"/>
    </xf>
    <xf numFmtId="0" fontId="4" fillId="0" borderId="56" xfId="0" applyNumberFormat="1" applyFont="1" applyFill="1" applyBorder="1" applyAlignment="1" applyProtection="1">
      <alignment horizontal="center" vertical="top" wrapText="1" shrinkToFit="1"/>
      <protection locked="0"/>
    </xf>
    <xf numFmtId="164" fontId="7" fillId="0" borderId="57" xfId="0" applyNumberFormat="1" applyFont="1" applyFill="1" applyBorder="1" applyAlignment="1" applyProtection="1">
      <alignment vertical="top" wrapText="1" readingOrder="1"/>
      <protection locked="0"/>
    </xf>
    <xf numFmtId="0" fontId="4" fillId="0" borderId="6" xfId="0" applyFont="1" applyFill="1" applyBorder="1" applyAlignment="1">
      <alignment horizontal="center" vertical="top" wrapText="1"/>
    </xf>
    <xf numFmtId="49" fontId="4" fillId="0" borderId="7" xfId="0" applyNumberFormat="1" applyFont="1" applyFill="1" applyBorder="1" applyAlignment="1" applyProtection="1">
      <alignment horizontal="center" vertical="center" wrapText="1" readingOrder="1"/>
      <protection locked="0"/>
    </xf>
    <xf numFmtId="49" fontId="0" fillId="0" borderId="0" xfId="0" applyNumberFormat="1"/>
    <xf numFmtId="49" fontId="0" fillId="0" borderId="5" xfId="0" applyNumberFormat="1" applyBorder="1"/>
    <xf numFmtId="0" fontId="0" fillId="0" borderId="5" xfId="0" applyBorder="1"/>
    <xf numFmtId="168" fontId="0" fillId="0" borderId="5" xfId="0" applyNumberFormat="1" applyBorder="1"/>
    <xf numFmtId="49" fontId="0" fillId="0" borderId="0" xfId="0" applyNumberFormat="1" applyAlignment="1">
      <alignment horizontal="right"/>
    </xf>
    <xf numFmtId="49" fontId="1" fillId="0" borderId="5" xfId="0" applyNumberFormat="1" applyFont="1" applyBorder="1" applyAlignment="1">
      <alignment horizontal="center"/>
    </xf>
    <xf numFmtId="49" fontId="0" fillId="0" borderId="5" xfId="0" applyNumberFormat="1" applyBorder="1" applyAlignment="1">
      <alignment horizontal="center"/>
    </xf>
    <xf numFmtId="49" fontId="0" fillId="0" borderId="5" xfId="0" applyNumberFormat="1" applyBorder="1" applyAlignment="1">
      <alignment horizontal="center" wrapText="1"/>
    </xf>
    <xf numFmtId="0" fontId="0" fillId="0" borderId="5" xfId="0" applyFill="1" applyBorder="1"/>
    <xf numFmtId="168" fontId="0" fillId="0" borderId="5" xfId="0" applyNumberFormat="1" applyFill="1" applyBorder="1"/>
    <xf numFmtId="49" fontId="4" fillId="0" borderId="48" xfId="0" applyNumberFormat="1" applyFont="1" applyFill="1" applyBorder="1" applyAlignment="1" applyProtection="1">
      <alignment horizontal="center" vertical="top" wrapText="1" readingOrder="1"/>
      <protection locked="0"/>
    </xf>
    <xf numFmtId="166" fontId="4" fillId="0" borderId="48" xfId="0" applyNumberFormat="1" applyFont="1" applyFill="1" applyBorder="1" applyAlignment="1" applyProtection="1">
      <alignment vertical="top" wrapText="1" readingOrder="1"/>
      <protection locked="0"/>
    </xf>
    <xf numFmtId="49" fontId="4" fillId="0" borderId="31" xfId="0" applyNumberFormat="1" applyFont="1" applyFill="1" applyBorder="1" applyAlignment="1" applyProtection="1">
      <alignment horizontal="center" vertical="top" wrapText="1" readingOrder="1"/>
      <protection locked="0"/>
    </xf>
    <xf numFmtId="0" fontId="4" fillId="0" borderId="1" xfId="0" applyFont="1" applyFill="1" applyBorder="1" applyAlignment="1" applyProtection="1">
      <alignment vertical="top" wrapText="1"/>
      <protection locked="0"/>
    </xf>
    <xf numFmtId="14" fontId="3" fillId="0" borderId="57" xfId="0" applyNumberFormat="1" applyFont="1" applyFill="1" applyBorder="1" applyAlignment="1" applyProtection="1">
      <alignment horizontal="center" vertical="center" wrapText="1" shrinkToFit="1"/>
      <protection locked="0"/>
    </xf>
    <xf numFmtId="164" fontId="7" fillId="0" borderId="59" xfId="0" applyNumberFormat="1" applyFont="1" applyFill="1" applyBorder="1" applyAlignment="1" applyProtection="1">
      <alignment vertical="top" wrapText="1" readingOrder="1"/>
      <protection locked="0"/>
    </xf>
    <xf numFmtId="0" fontId="7" fillId="0" borderId="59" xfId="0" applyFont="1" applyFill="1" applyBorder="1" applyAlignment="1" applyProtection="1">
      <alignment horizontal="center" vertical="top" wrapText="1" readingOrder="1"/>
      <protection locked="0"/>
    </xf>
    <xf numFmtId="0" fontId="3" fillId="0" borderId="59" xfId="0" applyNumberFormat="1" applyFont="1" applyFill="1" applyBorder="1" applyAlignment="1" applyProtection="1">
      <alignment horizontal="center" vertical="top" wrapText="1" shrinkToFit="1"/>
      <protection locked="0"/>
    </xf>
    <xf numFmtId="14" fontId="3" fillId="0" borderId="59" xfId="0" applyNumberFormat="1" applyFont="1" applyFill="1" applyBorder="1" applyAlignment="1" applyProtection="1">
      <alignment horizontal="center" vertical="top" wrapText="1" shrinkToFit="1"/>
      <protection locked="0"/>
    </xf>
    <xf numFmtId="49" fontId="7" fillId="0" borderId="59" xfId="0" applyNumberFormat="1" applyFont="1" applyFill="1" applyBorder="1" applyAlignment="1" applyProtection="1">
      <alignment horizontal="center" vertical="top" wrapText="1" readingOrder="1"/>
      <protection locked="0"/>
    </xf>
    <xf numFmtId="0" fontId="19" fillId="0" borderId="60" xfId="0" applyFont="1" applyFill="1" applyBorder="1" applyAlignment="1">
      <alignment horizontal="justify" vertical="top" wrapText="1"/>
    </xf>
    <xf numFmtId="0" fontId="4" fillId="0" borderId="53" xfId="0" applyFont="1" applyFill="1" applyBorder="1" applyAlignment="1" applyProtection="1">
      <alignment horizontal="left" vertical="top" wrapText="1" readingOrder="1"/>
      <protection locked="0"/>
    </xf>
    <xf numFmtId="49" fontId="4" fillId="0" borderId="53" xfId="0" applyNumberFormat="1" applyFont="1" applyFill="1" applyBorder="1" applyAlignment="1" applyProtection="1">
      <alignment horizontal="center" vertical="top" wrapText="1" readingOrder="1"/>
      <protection locked="0"/>
    </xf>
    <xf numFmtId="0" fontId="4" fillId="0" borderId="53" xfId="0" applyFont="1" applyFill="1" applyBorder="1" applyAlignment="1" applyProtection="1">
      <alignment vertical="top" wrapText="1" readingOrder="1"/>
      <protection locked="0"/>
    </xf>
    <xf numFmtId="0" fontId="4" fillId="0" borderId="53" xfId="0" applyFont="1" applyFill="1" applyBorder="1" applyAlignment="1">
      <alignment horizontal="center" vertical="top" wrapText="1"/>
    </xf>
    <xf numFmtId="0" fontId="4" fillId="0" borderId="53" xfId="0" applyNumberFormat="1" applyFont="1" applyFill="1" applyBorder="1" applyAlignment="1" applyProtection="1">
      <alignment horizontal="center" vertical="top" wrapText="1" shrinkToFit="1"/>
      <protection locked="0"/>
    </xf>
    <xf numFmtId="14" fontId="4" fillId="0" borderId="53" xfId="0" applyNumberFormat="1" applyFont="1" applyFill="1" applyBorder="1" applyAlignment="1" applyProtection="1">
      <alignment horizontal="center" vertical="top" wrapText="1" shrinkToFit="1"/>
      <protection locked="0"/>
    </xf>
    <xf numFmtId="164" fontId="7" fillId="0" borderId="35" xfId="0" applyNumberFormat="1" applyFont="1" applyFill="1" applyBorder="1" applyAlignment="1" applyProtection="1">
      <alignment vertical="top" wrapText="1" readingOrder="1"/>
      <protection locked="0"/>
    </xf>
    <xf numFmtId="0" fontId="3" fillId="0" borderId="53" xfId="1" applyNumberFormat="1" applyFont="1" applyFill="1" applyBorder="1" applyAlignment="1">
      <alignment horizontal="center" vertical="top" wrapText="1" readingOrder="1"/>
    </xf>
    <xf numFmtId="0" fontId="6" fillId="0" borderId="53" xfId="0" applyNumberFormat="1" applyFont="1" applyFill="1" applyBorder="1" applyAlignment="1" applyProtection="1">
      <alignment horizontal="center" vertical="top" wrapText="1"/>
    </xf>
    <xf numFmtId="0" fontId="7" fillId="0" borderId="53" xfId="0" applyFont="1" applyFill="1" applyBorder="1" applyAlignment="1" applyProtection="1">
      <alignment horizontal="center" vertical="top" wrapText="1" readingOrder="1"/>
      <protection locked="0"/>
    </xf>
    <xf numFmtId="49" fontId="4" fillId="0" borderId="61" xfId="0" applyNumberFormat="1" applyFont="1" applyFill="1" applyBorder="1" applyAlignment="1" applyProtection="1">
      <alignment horizontal="center" vertical="top" wrapText="1" readingOrder="1"/>
      <protection locked="0"/>
    </xf>
    <xf numFmtId="166" fontId="4" fillId="0" borderId="61" xfId="0" applyNumberFormat="1" applyFont="1" applyFill="1" applyBorder="1" applyAlignment="1" applyProtection="1">
      <alignment vertical="top" wrapText="1" readingOrder="1"/>
      <protection locked="0"/>
    </xf>
    <xf numFmtId="4" fontId="7" fillId="0" borderId="6" xfId="0" applyNumberFormat="1" applyFont="1" applyFill="1" applyBorder="1" applyAlignment="1" applyProtection="1">
      <alignment vertical="top" wrapText="1" readingOrder="1"/>
      <protection locked="0"/>
    </xf>
    <xf numFmtId="0" fontId="4" fillId="0" borderId="53" xfId="0" applyFont="1" applyFill="1" applyBorder="1" applyAlignment="1" applyProtection="1">
      <alignment horizontal="center" vertical="top" wrapText="1" readingOrder="1"/>
      <protection locked="0"/>
    </xf>
    <xf numFmtId="0" fontId="7" fillId="0" borderId="34" xfId="0" applyFont="1" applyFill="1" applyBorder="1" applyAlignment="1" applyProtection="1">
      <alignment horizontal="center" vertical="top" wrapText="1" readingOrder="1"/>
      <protection locked="0"/>
    </xf>
    <xf numFmtId="0" fontId="4" fillId="0" borderId="63" xfId="0" applyFont="1" applyFill="1" applyBorder="1" applyAlignment="1" applyProtection="1">
      <alignment vertical="top" wrapText="1" readingOrder="1"/>
      <protection locked="0"/>
    </xf>
    <xf numFmtId="49" fontId="4" fillId="0" borderId="63" xfId="0" applyNumberFormat="1" applyFont="1" applyFill="1" applyBorder="1" applyAlignment="1" applyProtection="1">
      <alignment horizontal="center" vertical="top" wrapText="1" readingOrder="1"/>
      <protection locked="0"/>
    </xf>
    <xf numFmtId="0" fontId="4" fillId="0" borderId="9" xfId="0" applyFont="1" applyFill="1" applyBorder="1" applyAlignment="1" applyProtection="1">
      <alignment vertical="top" wrapText="1" readingOrder="1"/>
      <protection locked="0"/>
    </xf>
    <xf numFmtId="0" fontId="4" fillId="0" borderId="64" xfId="0" applyFont="1" applyFill="1" applyBorder="1" applyAlignment="1" applyProtection="1">
      <alignment vertical="top" wrapText="1" readingOrder="1"/>
      <protection locked="0"/>
    </xf>
    <xf numFmtId="49" fontId="4" fillId="0" borderId="66" xfId="0" applyNumberFormat="1" applyFont="1" applyFill="1" applyBorder="1" applyAlignment="1" applyProtection="1">
      <alignment horizontal="center" vertical="top" wrapText="1" readingOrder="1"/>
      <protection locked="0"/>
    </xf>
    <xf numFmtId="49" fontId="4" fillId="0" borderId="68" xfId="0" applyNumberFormat="1" applyFont="1" applyFill="1" applyBorder="1" applyAlignment="1" applyProtection="1">
      <alignment horizontal="center" vertical="top" wrapText="1" readingOrder="1"/>
      <protection locked="0"/>
    </xf>
    <xf numFmtId="164" fontId="4" fillId="0" borderId="68" xfId="0" applyNumberFormat="1" applyFont="1" applyFill="1" applyBorder="1" applyAlignment="1" applyProtection="1">
      <alignment vertical="top" wrapText="1" readingOrder="1"/>
      <protection locked="0"/>
    </xf>
    <xf numFmtId="164" fontId="4" fillId="0" borderId="63" xfId="0" applyNumberFormat="1" applyFont="1" applyFill="1" applyBorder="1" applyAlignment="1" applyProtection="1">
      <alignment vertical="top" wrapText="1" readingOrder="1"/>
      <protection locked="0"/>
    </xf>
    <xf numFmtId="0" fontId="4" fillId="0" borderId="63" xfId="0" applyNumberFormat="1" applyFont="1" applyFill="1" applyBorder="1" applyAlignment="1" applyProtection="1">
      <alignment horizontal="center" vertical="top" wrapText="1" shrinkToFit="1"/>
      <protection locked="0"/>
    </xf>
    <xf numFmtId="166" fontId="4" fillId="0" borderId="63" xfId="0" applyNumberFormat="1" applyFont="1" applyFill="1" applyBorder="1" applyAlignment="1" applyProtection="1">
      <alignment vertical="top" wrapText="1" readingOrder="1"/>
      <protection locked="0"/>
    </xf>
    <xf numFmtId="49" fontId="4" fillId="0" borderId="67" xfId="0" applyNumberFormat="1" applyFont="1" applyFill="1" applyBorder="1" applyAlignment="1" applyProtection="1">
      <alignment horizontal="center" vertical="top" wrapText="1" readingOrder="1"/>
      <protection locked="0"/>
    </xf>
    <xf numFmtId="164" fontId="4" fillId="0" borderId="67" xfId="0" applyNumberFormat="1" applyFont="1" applyFill="1" applyBorder="1" applyAlignment="1" applyProtection="1">
      <alignment vertical="top" wrapText="1" readingOrder="1"/>
      <protection locked="0"/>
    </xf>
    <xf numFmtId="164" fontId="7" fillId="0" borderId="70" xfId="0" applyNumberFormat="1" applyFont="1" applyFill="1" applyBorder="1" applyAlignment="1" applyProtection="1">
      <alignment vertical="top" wrapText="1" readingOrder="1"/>
      <protection locked="0"/>
    </xf>
    <xf numFmtId="164" fontId="4" fillId="0" borderId="70" xfId="0" applyNumberFormat="1" applyFont="1" applyFill="1" applyBorder="1" applyAlignment="1" applyProtection="1">
      <alignment vertical="top" wrapText="1" readingOrder="1"/>
      <protection locked="0"/>
    </xf>
    <xf numFmtId="164" fontId="4" fillId="0" borderId="72" xfId="0" applyNumberFormat="1" applyFont="1" applyFill="1" applyBorder="1" applyAlignment="1" applyProtection="1">
      <alignment vertical="top" wrapText="1" readingOrder="1"/>
      <protection locked="0"/>
    </xf>
    <xf numFmtId="164" fontId="4" fillId="0" borderId="73" xfId="0" applyNumberFormat="1" applyFont="1" applyFill="1" applyBorder="1" applyAlignment="1" applyProtection="1">
      <alignment vertical="top" wrapText="1" readingOrder="1"/>
      <protection locked="0"/>
    </xf>
    <xf numFmtId="164" fontId="4" fillId="0" borderId="64" xfId="0" applyNumberFormat="1" applyFont="1" applyFill="1" applyBorder="1" applyAlignment="1" applyProtection="1">
      <alignment vertical="top" wrapText="1" readingOrder="1"/>
      <protection locked="0"/>
    </xf>
    <xf numFmtId="164" fontId="7" fillId="0" borderId="74" xfId="0" applyNumberFormat="1" applyFont="1" applyFill="1" applyBorder="1" applyAlignment="1" applyProtection="1">
      <alignment vertical="top" wrapText="1" readingOrder="1"/>
      <protection locked="0"/>
    </xf>
    <xf numFmtId="164" fontId="4" fillId="0" borderId="75" xfId="0" applyNumberFormat="1" applyFont="1" applyFill="1" applyBorder="1" applyAlignment="1" applyProtection="1">
      <alignment vertical="top" wrapText="1" readingOrder="1"/>
      <protection locked="0"/>
    </xf>
    <xf numFmtId="164" fontId="4" fillId="0" borderId="69" xfId="0" applyNumberFormat="1" applyFont="1" applyFill="1" applyBorder="1" applyAlignment="1" applyProtection="1">
      <alignment vertical="top" wrapText="1" readingOrder="1"/>
      <protection locked="0"/>
    </xf>
    <xf numFmtId="166" fontId="4" fillId="0" borderId="76" xfId="0" applyNumberFormat="1" applyFont="1" applyFill="1" applyBorder="1" applyAlignment="1" applyProtection="1">
      <alignment vertical="top" wrapText="1" readingOrder="1"/>
      <protection locked="0"/>
    </xf>
    <xf numFmtId="166" fontId="4" fillId="0" borderId="75" xfId="0" applyNumberFormat="1" applyFont="1" applyFill="1" applyBorder="1" applyAlignment="1" applyProtection="1">
      <alignment vertical="top" wrapText="1" readingOrder="1"/>
      <protection locked="0"/>
    </xf>
    <xf numFmtId="166" fontId="4" fillId="0" borderId="70" xfId="0" applyNumberFormat="1" applyFont="1" applyFill="1" applyBorder="1" applyAlignment="1" applyProtection="1">
      <alignment vertical="top" wrapText="1" readingOrder="1"/>
      <protection locked="0"/>
    </xf>
    <xf numFmtId="166" fontId="4" fillId="0" borderId="77" xfId="0" applyNumberFormat="1" applyFont="1" applyFill="1" applyBorder="1" applyAlignment="1" applyProtection="1">
      <alignment vertical="top" wrapText="1" readingOrder="1"/>
      <protection locked="0"/>
    </xf>
    <xf numFmtId="166" fontId="7" fillId="0" borderId="63" xfId="0" applyNumberFormat="1" applyFont="1" applyFill="1" applyBorder="1" applyAlignment="1" applyProtection="1">
      <alignment vertical="top" wrapText="1" readingOrder="1"/>
      <protection locked="0"/>
    </xf>
    <xf numFmtId="166" fontId="4" fillId="0" borderId="69" xfId="0" applyNumberFormat="1" applyFont="1" applyFill="1" applyBorder="1" applyAlignment="1" applyProtection="1">
      <alignment vertical="top" wrapText="1" readingOrder="1"/>
      <protection locked="0"/>
    </xf>
    <xf numFmtId="166" fontId="7" fillId="0" borderId="68" xfId="0" applyNumberFormat="1" applyFont="1" applyFill="1" applyBorder="1" applyAlignment="1" applyProtection="1">
      <alignment vertical="top" wrapText="1" readingOrder="1"/>
      <protection locked="0"/>
    </xf>
    <xf numFmtId="0" fontId="7" fillId="0" borderId="72" xfId="0" applyFont="1" applyFill="1" applyBorder="1" applyAlignment="1" applyProtection="1">
      <alignment vertical="top" wrapText="1" readingOrder="1"/>
      <protection locked="0"/>
    </xf>
    <xf numFmtId="0" fontId="7" fillId="0" borderId="73" xfId="0" applyFont="1" applyFill="1" applyBorder="1" applyAlignment="1" applyProtection="1">
      <alignment vertical="top" wrapText="1" readingOrder="1"/>
      <protection locked="0"/>
    </xf>
    <xf numFmtId="164" fontId="7" fillId="0" borderId="73" xfId="0" applyNumberFormat="1" applyFont="1" applyFill="1" applyBorder="1" applyAlignment="1" applyProtection="1">
      <alignment vertical="top" wrapText="1" readingOrder="1"/>
      <protection locked="0"/>
    </xf>
    <xf numFmtId="4" fontId="4" fillId="0" borderId="64" xfId="0" applyNumberFormat="1" applyFont="1" applyFill="1" applyBorder="1" applyAlignment="1" applyProtection="1">
      <alignment horizontal="right" vertical="center" wrapText="1" readingOrder="1"/>
      <protection locked="0"/>
    </xf>
    <xf numFmtId="164" fontId="4" fillId="0" borderId="78" xfId="0" applyNumberFormat="1" applyFont="1" applyFill="1" applyBorder="1" applyAlignment="1" applyProtection="1">
      <alignment vertical="top" wrapText="1" readingOrder="1"/>
      <protection locked="0"/>
    </xf>
    <xf numFmtId="164" fontId="7" fillId="0" borderId="77" xfId="0" applyNumberFormat="1" applyFont="1" applyFill="1" applyBorder="1" applyAlignment="1" applyProtection="1">
      <alignment vertical="top" wrapText="1" readingOrder="1"/>
      <protection locked="0"/>
    </xf>
    <xf numFmtId="164" fontId="4" fillId="0" borderId="77" xfId="0" applyNumberFormat="1" applyFont="1" applyFill="1" applyBorder="1" applyAlignment="1" applyProtection="1">
      <alignment vertical="top" wrapText="1" readingOrder="1"/>
      <protection locked="0"/>
    </xf>
    <xf numFmtId="164" fontId="7" fillId="0" borderId="68" xfId="0" applyNumberFormat="1" applyFont="1" applyFill="1" applyBorder="1" applyAlignment="1" applyProtection="1">
      <alignment vertical="top" wrapText="1" readingOrder="1"/>
      <protection locked="0"/>
    </xf>
    <xf numFmtId="165" fontId="4" fillId="0" borderId="70" xfId="0" applyNumberFormat="1" applyFont="1" applyFill="1" applyBorder="1" applyAlignment="1" applyProtection="1">
      <alignment vertical="top" wrapText="1" readingOrder="1"/>
      <protection locked="0"/>
    </xf>
    <xf numFmtId="165" fontId="4" fillId="0" borderId="75" xfId="0" applyNumberFormat="1" applyFont="1" applyFill="1" applyBorder="1" applyAlignment="1" applyProtection="1">
      <alignment vertical="top" wrapText="1" readingOrder="1"/>
      <protection locked="0"/>
    </xf>
    <xf numFmtId="165" fontId="4" fillId="0" borderId="77" xfId="0" applyNumberFormat="1" applyFont="1" applyFill="1" applyBorder="1" applyAlignment="1" applyProtection="1">
      <alignment vertical="top" wrapText="1" readingOrder="1"/>
      <protection locked="0"/>
    </xf>
    <xf numFmtId="164" fontId="7" fillId="0" borderId="63" xfId="0" applyNumberFormat="1" applyFont="1" applyFill="1" applyBorder="1" applyAlignment="1" applyProtection="1">
      <alignment vertical="top" wrapText="1" readingOrder="1"/>
      <protection locked="0"/>
    </xf>
    <xf numFmtId="164" fontId="7" fillId="0" borderId="75" xfId="0" applyNumberFormat="1" applyFont="1" applyFill="1" applyBorder="1" applyAlignment="1" applyProtection="1">
      <alignment vertical="top" wrapText="1" readingOrder="1"/>
      <protection locked="0"/>
    </xf>
    <xf numFmtId="166" fontId="4" fillId="0" borderId="74" xfId="0" applyNumberFormat="1" applyFont="1" applyFill="1" applyBorder="1" applyAlignment="1" applyProtection="1">
      <alignment vertical="top" wrapText="1" readingOrder="1"/>
      <protection locked="0"/>
    </xf>
    <xf numFmtId="166" fontId="4" fillId="0" borderId="64" xfId="0" applyNumberFormat="1" applyFont="1" applyFill="1" applyBorder="1" applyAlignment="1" applyProtection="1">
      <alignment vertical="top" wrapText="1" readingOrder="1"/>
      <protection locked="0"/>
    </xf>
    <xf numFmtId="166" fontId="4" fillId="0" borderId="68" xfId="0" applyNumberFormat="1" applyFont="1" applyFill="1" applyBorder="1" applyAlignment="1" applyProtection="1">
      <alignment vertical="top" wrapText="1" readingOrder="1"/>
      <protection locked="0"/>
    </xf>
    <xf numFmtId="164" fontId="4" fillId="0" borderId="74" xfId="0" applyNumberFormat="1" applyFont="1" applyFill="1" applyBorder="1" applyAlignment="1" applyProtection="1">
      <alignment vertical="top" wrapText="1" readingOrder="1"/>
      <protection locked="0"/>
    </xf>
    <xf numFmtId="164" fontId="7" fillId="0" borderId="64" xfId="0" applyNumberFormat="1" applyFont="1" applyFill="1" applyBorder="1" applyAlignment="1" applyProtection="1">
      <alignment vertical="top" wrapText="1" readingOrder="1"/>
      <protection locked="0"/>
    </xf>
    <xf numFmtId="164" fontId="7" fillId="0" borderId="72" xfId="0" applyNumberFormat="1" applyFont="1" applyFill="1" applyBorder="1" applyAlignment="1" applyProtection="1">
      <alignment vertical="top" wrapText="1" readingOrder="1"/>
      <protection locked="0"/>
    </xf>
    <xf numFmtId="164" fontId="4" fillId="0" borderId="71" xfId="0" applyNumberFormat="1" applyFont="1" applyFill="1" applyBorder="1" applyAlignment="1" applyProtection="1">
      <alignment vertical="top" wrapText="1" readingOrder="1"/>
      <protection locked="0"/>
    </xf>
    <xf numFmtId="166" fontId="4" fillId="0" borderId="73" xfId="0" applyNumberFormat="1" applyFont="1" applyFill="1" applyBorder="1" applyAlignment="1" applyProtection="1">
      <alignment vertical="top" wrapText="1" readingOrder="1"/>
      <protection locked="0"/>
    </xf>
    <xf numFmtId="164" fontId="4" fillId="0" borderId="76" xfId="0" applyNumberFormat="1" applyFont="1" applyFill="1" applyBorder="1" applyAlignment="1" applyProtection="1">
      <alignment vertical="top" wrapText="1" readingOrder="1"/>
      <protection locked="0"/>
    </xf>
    <xf numFmtId="166" fontId="4" fillId="0" borderId="72" xfId="0" applyNumberFormat="1" applyFont="1" applyFill="1" applyBorder="1" applyAlignment="1" applyProtection="1">
      <alignment vertical="top" wrapText="1" readingOrder="1"/>
      <protection locked="0"/>
    </xf>
    <xf numFmtId="0" fontId="4" fillId="0" borderId="72" xfId="0" applyFont="1" applyFill="1" applyBorder="1" applyAlignment="1" applyProtection="1">
      <alignment vertical="top" wrapText="1" readingOrder="1"/>
      <protection locked="0"/>
    </xf>
    <xf numFmtId="0" fontId="7" fillId="0" borderId="74" xfId="0" applyFont="1" applyFill="1" applyBorder="1" applyAlignment="1" applyProtection="1">
      <alignment vertical="top" wrapText="1" readingOrder="1"/>
      <protection locked="0"/>
    </xf>
    <xf numFmtId="4" fontId="7" fillId="0" borderId="76" xfId="0" applyNumberFormat="1" applyFont="1" applyFill="1" applyBorder="1" applyAlignment="1" applyProtection="1">
      <alignment vertical="top" wrapText="1" readingOrder="1"/>
      <protection locked="0"/>
    </xf>
    <xf numFmtId="4" fontId="12" fillId="2" borderId="5" xfId="0" applyNumberFormat="1" applyFont="1" applyFill="1" applyBorder="1"/>
    <xf numFmtId="4" fontId="14" fillId="2" borderId="0" xfId="0" applyNumberFormat="1" applyFont="1" applyFill="1"/>
    <xf numFmtId="0" fontId="0" fillId="2" borderId="0" xfId="0" applyFill="1"/>
    <xf numFmtId="49" fontId="0" fillId="2" borderId="0" xfId="0" applyNumberFormat="1" applyFill="1"/>
    <xf numFmtId="168" fontId="12" fillId="2" borderId="5" xfId="0" applyNumberFormat="1" applyFont="1" applyFill="1" applyBorder="1"/>
    <xf numFmtId="0" fontId="7" fillId="0" borderId="16" xfId="0" applyFont="1" applyFill="1" applyBorder="1" applyAlignment="1" applyProtection="1">
      <alignment horizontal="center" vertical="top" wrapText="1" readingOrder="1"/>
      <protection locked="0"/>
    </xf>
    <xf numFmtId="49" fontId="4" fillId="0" borderId="71" xfId="0" applyNumberFormat="1" applyFont="1" applyFill="1" applyBorder="1" applyAlignment="1" applyProtection="1">
      <alignment horizontal="center" vertical="top" wrapText="1" readingOrder="1"/>
      <protection locked="0"/>
    </xf>
    <xf numFmtId="49" fontId="4" fillId="0" borderId="23" xfId="0" applyNumberFormat="1" applyFont="1" applyFill="1" applyBorder="1" applyAlignment="1" applyProtection="1">
      <alignment horizontal="center" vertical="top" wrapText="1" readingOrder="1"/>
      <protection locked="0"/>
    </xf>
    <xf numFmtId="0" fontId="4" fillId="0" borderId="77" xfId="0" applyFont="1" applyFill="1" applyBorder="1" applyAlignment="1" applyProtection="1">
      <alignment vertical="top" wrapText="1" readingOrder="1"/>
      <protection locked="0"/>
    </xf>
    <xf numFmtId="49" fontId="4" fillId="0" borderId="77" xfId="0" applyNumberFormat="1" applyFont="1" applyFill="1" applyBorder="1" applyAlignment="1" applyProtection="1">
      <alignment horizontal="center" vertical="top" wrapText="1" readingOrder="1"/>
      <protection locked="0"/>
    </xf>
    <xf numFmtId="0" fontId="4" fillId="0" borderId="77" xfId="0" applyFont="1" applyFill="1" applyBorder="1" applyAlignment="1" applyProtection="1">
      <alignment vertical="top" wrapText="1"/>
      <protection locked="0"/>
    </xf>
    <xf numFmtId="0" fontId="4" fillId="0" borderId="77" xfId="1" applyNumberFormat="1" applyFont="1" applyFill="1" applyBorder="1" applyAlignment="1">
      <alignment horizontal="center" vertical="top" wrapText="1"/>
    </xf>
    <xf numFmtId="0" fontId="4" fillId="0" borderId="77" xfId="0" applyNumberFormat="1" applyFont="1" applyFill="1" applyBorder="1" applyAlignment="1" applyProtection="1">
      <alignment horizontal="center" vertical="top" wrapText="1" shrinkToFit="1"/>
      <protection locked="0"/>
    </xf>
    <xf numFmtId="0" fontId="4" fillId="0" borderId="75" xfId="0" applyNumberFormat="1" applyFont="1" applyFill="1" applyBorder="1" applyAlignment="1" applyProtection="1">
      <alignment vertical="top" wrapText="1" shrinkToFit="1"/>
      <protection locked="0"/>
    </xf>
    <xf numFmtId="0" fontId="20" fillId="0" borderId="0" xfId="0" applyFont="1"/>
    <xf numFmtId="0" fontId="0" fillId="0" borderId="0" xfId="0" applyAlignment="1">
      <alignment vertical="top" wrapText="1"/>
    </xf>
    <xf numFmtId="0" fontId="20" fillId="0" borderId="5" xfId="0" applyFont="1" applyBorder="1"/>
    <xf numFmtId="0" fontId="20" fillId="0" borderId="5" xfId="0" applyFont="1" applyBorder="1" applyAlignment="1">
      <alignment vertical="top" wrapText="1"/>
    </xf>
    <xf numFmtId="16" fontId="1" fillId="0" borderId="5" xfId="0" applyNumberFormat="1" applyFont="1" applyBorder="1" applyAlignment="1">
      <alignment horizontal="right"/>
    </xf>
    <xf numFmtId="0" fontId="22" fillId="0" borderId="5" xfId="0"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right"/>
    </xf>
    <xf numFmtId="0" fontId="21" fillId="0" borderId="5" xfId="0" applyFont="1" applyBorder="1" applyAlignment="1">
      <alignment vertical="top" wrapText="1"/>
    </xf>
    <xf numFmtId="0" fontId="0" fillId="0" borderId="5" xfId="0" applyBorder="1" applyAlignment="1">
      <alignment vertical="top" wrapText="1"/>
    </xf>
    <xf numFmtId="14" fontId="4" fillId="0" borderId="75" xfId="0" applyNumberFormat="1" applyFont="1" applyFill="1" applyBorder="1" applyAlignment="1" applyProtection="1">
      <alignment vertical="top" wrapText="1" shrinkToFit="1"/>
      <protection locked="0"/>
    </xf>
    <xf numFmtId="0" fontId="4" fillId="0" borderId="76" xfId="0" applyFont="1" applyFill="1" applyBorder="1" applyAlignment="1" applyProtection="1">
      <alignment vertical="top" wrapText="1" readingOrder="1"/>
      <protection locked="0"/>
    </xf>
    <xf numFmtId="0" fontId="7" fillId="0" borderId="48" xfId="0" applyFont="1" applyFill="1" applyBorder="1" applyAlignment="1" applyProtection="1">
      <alignment horizontal="left" vertical="top" wrapText="1" readingOrder="1"/>
      <protection locked="0"/>
    </xf>
    <xf numFmtId="49" fontId="7" fillId="0" borderId="48" xfId="0" applyNumberFormat="1" applyFont="1" applyFill="1" applyBorder="1" applyAlignment="1" applyProtection="1">
      <alignment horizontal="center" vertical="top" wrapText="1" readingOrder="1"/>
      <protection locked="0"/>
    </xf>
    <xf numFmtId="0" fontId="6" fillId="0" borderId="48" xfId="0" applyNumberFormat="1" applyFont="1" applyFill="1" applyBorder="1" applyAlignment="1" applyProtection="1">
      <alignment horizontal="center" vertical="top" wrapText="1" shrinkToFit="1" readingOrder="1"/>
      <protection locked="0"/>
    </xf>
    <xf numFmtId="0" fontId="6" fillId="0" borderId="81" xfId="0" applyNumberFormat="1" applyFont="1" applyFill="1" applyBorder="1" applyAlignment="1" applyProtection="1">
      <alignment horizontal="center" vertical="top" wrapText="1" shrinkToFit="1" readingOrder="1"/>
      <protection locked="0"/>
    </xf>
    <xf numFmtId="0" fontId="7" fillId="0" borderId="82" xfId="0" applyFont="1" applyFill="1" applyBorder="1" applyAlignment="1" applyProtection="1">
      <alignment horizontal="center" vertical="top" wrapText="1" readingOrder="1"/>
      <protection locked="0"/>
    </xf>
    <xf numFmtId="49" fontId="4" fillId="0" borderId="75" xfId="0" applyNumberFormat="1" applyFont="1" applyFill="1" applyBorder="1" applyAlignment="1" applyProtection="1">
      <alignment horizontal="center" vertical="top" wrapText="1" readingOrder="1"/>
      <protection locked="0"/>
    </xf>
    <xf numFmtId="166" fontId="4" fillId="0" borderId="67" xfId="0" applyNumberFormat="1" applyFont="1" applyFill="1" applyBorder="1" applyAlignment="1" applyProtection="1">
      <alignment vertical="top" wrapText="1" readingOrder="1"/>
      <protection locked="0"/>
    </xf>
    <xf numFmtId="0" fontId="10" fillId="0" borderId="75" xfId="0" applyNumberFormat="1" applyFont="1" applyFill="1" applyBorder="1" applyAlignment="1" applyProtection="1">
      <alignment horizontal="center" vertical="top" wrapText="1"/>
    </xf>
    <xf numFmtId="49" fontId="7" fillId="0" borderId="83" xfId="0" applyNumberFormat="1" applyFont="1" applyFill="1" applyBorder="1" applyAlignment="1" applyProtection="1">
      <alignment horizontal="center" vertical="top" wrapText="1" readingOrder="1"/>
      <protection locked="0"/>
    </xf>
    <xf numFmtId="0" fontId="7" fillId="0" borderId="83" xfId="0" applyFont="1" applyFill="1" applyBorder="1" applyAlignment="1" applyProtection="1">
      <alignment vertical="top" wrapText="1" readingOrder="1"/>
      <protection locked="0"/>
    </xf>
    <xf numFmtId="0" fontId="10" fillId="0" borderId="83" xfId="0" applyNumberFormat="1" applyFont="1" applyFill="1" applyBorder="1" applyAlignment="1" applyProtection="1">
      <alignment horizontal="center" vertical="top" wrapText="1"/>
    </xf>
    <xf numFmtId="0" fontId="6" fillId="0" borderId="83" xfId="0" applyNumberFormat="1" applyFont="1" applyFill="1" applyBorder="1" applyAlignment="1" applyProtection="1">
      <alignment horizontal="center" vertical="top" wrapText="1"/>
    </xf>
    <xf numFmtId="164" fontId="7" fillId="0" borderId="83" xfId="0" applyNumberFormat="1" applyFont="1" applyFill="1" applyBorder="1" applyAlignment="1" applyProtection="1">
      <alignment vertical="top" wrapText="1" readingOrder="1"/>
      <protection locked="0"/>
    </xf>
    <xf numFmtId="49" fontId="7" fillId="0" borderId="75" xfId="0" applyNumberFormat="1" applyFont="1" applyFill="1" applyBorder="1" applyAlignment="1" applyProtection="1">
      <alignment horizontal="center" vertical="top" wrapText="1" readingOrder="1"/>
      <protection locked="0"/>
    </xf>
    <xf numFmtId="0" fontId="7" fillId="0" borderId="75" xfId="0" applyFont="1" applyFill="1" applyBorder="1" applyAlignment="1" applyProtection="1">
      <alignment vertical="top" wrapText="1" readingOrder="1"/>
      <protection locked="0"/>
    </xf>
    <xf numFmtId="164" fontId="4" fillId="0" borderId="62" xfId="0" applyNumberFormat="1" applyFont="1" applyFill="1" applyBorder="1" applyAlignment="1" applyProtection="1">
      <alignment vertical="top" wrapText="1" readingOrder="1"/>
      <protection locked="0"/>
    </xf>
    <xf numFmtId="4" fontId="0" fillId="0" borderId="0" xfId="0" applyNumberFormat="1" applyFill="1"/>
    <xf numFmtId="164" fontId="7" fillId="0" borderId="85" xfId="0" applyNumberFormat="1" applyFont="1" applyFill="1" applyBorder="1" applyAlignment="1" applyProtection="1">
      <alignment vertical="top" wrapText="1" readingOrder="1"/>
      <protection locked="0"/>
    </xf>
    <xf numFmtId="49" fontId="4" fillId="0" borderId="86" xfId="0" applyNumberFormat="1" applyFont="1" applyFill="1" applyBorder="1" applyAlignment="1" applyProtection="1">
      <alignment horizontal="center" vertical="top" wrapText="1" readingOrder="1"/>
      <protection locked="0"/>
    </xf>
    <xf numFmtId="166" fontId="4" fillId="0" borderId="86" xfId="0" applyNumberFormat="1" applyFont="1" applyFill="1" applyBorder="1" applyAlignment="1" applyProtection="1">
      <alignment vertical="top" wrapText="1" readingOrder="1"/>
      <protection locked="0"/>
    </xf>
    <xf numFmtId="166" fontId="4" fillId="0" borderId="88" xfId="0" applyNumberFormat="1" applyFont="1" applyFill="1" applyBorder="1" applyAlignment="1" applyProtection="1">
      <alignment vertical="top" wrapText="1" readingOrder="1"/>
      <protection locked="0"/>
    </xf>
    <xf numFmtId="49" fontId="4" fillId="0" borderId="88" xfId="0" applyNumberFormat="1" applyFont="1" applyFill="1" applyBorder="1" applyAlignment="1" applyProtection="1">
      <alignment horizontal="center" vertical="top" wrapText="1" readingOrder="1"/>
      <protection locked="0"/>
    </xf>
    <xf numFmtId="49" fontId="4" fillId="0" borderId="87" xfId="0" applyNumberFormat="1" applyFont="1" applyFill="1" applyBorder="1" applyAlignment="1" applyProtection="1">
      <alignment horizontal="center" vertical="top" wrapText="1" readingOrder="1"/>
      <protection locked="0"/>
    </xf>
    <xf numFmtId="164" fontId="7" fillId="0" borderId="58" xfId="0" applyNumberFormat="1" applyFont="1" applyFill="1" applyBorder="1" applyAlignment="1" applyProtection="1">
      <alignment vertical="top" wrapText="1" readingOrder="1"/>
      <protection locked="0"/>
    </xf>
    <xf numFmtId="0" fontId="4" fillId="0" borderId="67" xfId="0" applyFont="1" applyFill="1" applyBorder="1" applyAlignment="1" applyProtection="1">
      <alignment vertical="top" wrapText="1" readingOrder="1"/>
      <protection locked="0"/>
    </xf>
    <xf numFmtId="0" fontId="4" fillId="0" borderId="67" xfId="0" applyNumberFormat="1" applyFont="1" applyFill="1" applyBorder="1" applyAlignment="1" applyProtection="1">
      <alignment horizontal="center" vertical="top" wrapText="1" shrinkToFit="1"/>
      <protection locked="0"/>
    </xf>
    <xf numFmtId="14" fontId="4" fillId="0" borderId="67" xfId="0" applyNumberFormat="1" applyFont="1" applyFill="1" applyBorder="1" applyAlignment="1" applyProtection="1">
      <alignment horizontal="center" vertical="top" wrapText="1" shrinkToFit="1"/>
      <protection locked="0"/>
    </xf>
    <xf numFmtId="0" fontId="4" fillId="0" borderId="62" xfId="0" applyFont="1" applyFill="1" applyBorder="1" applyAlignment="1" applyProtection="1">
      <alignment vertical="top" wrapText="1" readingOrder="1"/>
      <protection locked="0"/>
    </xf>
    <xf numFmtId="49" fontId="4" fillId="0" borderId="89" xfId="0" applyNumberFormat="1" applyFont="1" applyFill="1" applyBorder="1" applyAlignment="1" applyProtection="1">
      <alignment horizontal="center" vertical="top" wrapText="1" readingOrder="1"/>
      <protection locked="0"/>
    </xf>
    <xf numFmtId="166" fontId="4" fillId="0" borderId="62" xfId="0" applyNumberFormat="1" applyFont="1" applyFill="1" applyBorder="1" applyAlignment="1" applyProtection="1">
      <alignment vertical="top" wrapText="1" readingOrder="1"/>
      <protection locked="0"/>
    </xf>
    <xf numFmtId="0" fontId="4" fillId="0" borderId="75" xfId="0" applyFont="1" applyFill="1" applyBorder="1" applyAlignment="1" applyProtection="1">
      <alignment vertical="top" wrapText="1" readingOrder="1"/>
      <protection locked="0"/>
    </xf>
    <xf numFmtId="0" fontId="4" fillId="0" borderId="67" xfId="0" applyFont="1" applyFill="1" applyBorder="1" applyAlignment="1" applyProtection="1">
      <alignment horizontal="center" vertical="top" wrapText="1" readingOrder="1"/>
      <protection locked="0"/>
    </xf>
    <xf numFmtId="0" fontId="7" fillId="0" borderId="67" xfId="0" applyFont="1" applyFill="1" applyBorder="1" applyAlignment="1" applyProtection="1">
      <alignment vertical="top" wrapText="1" readingOrder="1"/>
      <protection locked="0"/>
    </xf>
    <xf numFmtId="0" fontId="7" fillId="0" borderId="67" xfId="0" applyFont="1" applyFill="1" applyBorder="1" applyAlignment="1" applyProtection="1">
      <alignment horizontal="center" vertical="top" wrapText="1" readingOrder="1"/>
      <protection locked="0"/>
    </xf>
    <xf numFmtId="49" fontId="7" fillId="0" borderId="67" xfId="0" applyNumberFormat="1" applyFont="1" applyFill="1" applyBorder="1" applyAlignment="1" applyProtection="1">
      <alignment horizontal="center" vertical="top" wrapText="1" readingOrder="1"/>
      <protection locked="0"/>
    </xf>
    <xf numFmtId="164" fontId="7" fillId="0" borderId="67" xfId="0" applyNumberFormat="1" applyFont="1" applyFill="1" applyBorder="1" applyAlignment="1" applyProtection="1">
      <alignment vertical="top" wrapText="1" readingOrder="1"/>
      <protection locked="0"/>
    </xf>
    <xf numFmtId="0" fontId="4" fillId="0" borderId="62" xfId="0" applyFont="1" applyFill="1" applyBorder="1" applyAlignment="1">
      <alignment horizontal="center" vertical="top" wrapText="1"/>
    </xf>
    <xf numFmtId="0" fontId="4" fillId="0" borderId="92" xfId="0" applyNumberFormat="1" applyFont="1" applyFill="1" applyBorder="1" applyAlignment="1" applyProtection="1">
      <alignment horizontal="center" vertical="top" wrapText="1" shrinkToFit="1"/>
      <protection locked="0"/>
    </xf>
    <xf numFmtId="0" fontId="4" fillId="0" borderId="62" xfId="0" applyNumberFormat="1" applyFont="1" applyFill="1" applyBorder="1" applyAlignment="1" applyProtection="1">
      <alignment horizontal="center" vertical="top" wrapText="1" shrinkToFit="1"/>
      <protection locked="0"/>
    </xf>
    <xf numFmtId="14" fontId="4" fillId="0" borderId="92" xfId="0" applyNumberFormat="1" applyFont="1" applyFill="1" applyBorder="1" applyAlignment="1" applyProtection="1">
      <alignment horizontal="center" vertical="top" wrapText="1" shrinkToFit="1"/>
      <protection locked="0"/>
    </xf>
    <xf numFmtId="14" fontId="4" fillId="0" borderId="62" xfId="0" applyNumberFormat="1" applyFont="1" applyFill="1" applyBorder="1" applyAlignment="1" applyProtection="1">
      <alignment horizontal="center" vertical="top" wrapText="1" shrinkToFit="1"/>
      <protection locked="0"/>
    </xf>
    <xf numFmtId="0" fontId="3" fillId="0" borderId="77" xfId="0" applyNumberFormat="1" applyFont="1" applyFill="1" applyBorder="1" applyAlignment="1" applyProtection="1">
      <alignment horizontal="center" vertical="center" wrapText="1" shrinkToFit="1"/>
      <protection locked="0"/>
    </xf>
    <xf numFmtId="0" fontId="3" fillId="0" borderId="77" xfId="0" applyNumberFormat="1" applyFont="1" applyFill="1" applyBorder="1" applyAlignment="1" applyProtection="1">
      <alignment vertical="top" wrapText="1" shrinkToFit="1"/>
      <protection locked="0"/>
    </xf>
    <xf numFmtId="0" fontId="4" fillId="0" borderId="68" xfId="0" applyFont="1" applyFill="1" applyBorder="1" applyAlignment="1" applyProtection="1">
      <alignment horizontal="center" vertical="top" wrapText="1" readingOrder="1"/>
      <protection locked="0"/>
    </xf>
    <xf numFmtId="14" fontId="4" fillId="0" borderId="57" xfId="0" applyNumberFormat="1" applyFont="1" applyFill="1" applyBorder="1" applyAlignment="1" applyProtection="1">
      <alignment horizontal="center" vertical="top" wrapText="1" readingOrder="1"/>
      <protection locked="0"/>
    </xf>
    <xf numFmtId="0" fontId="4" fillId="0" borderId="0" xfId="0" applyFont="1" applyFill="1" applyBorder="1" applyAlignment="1" applyProtection="1">
      <alignment vertical="top" wrapText="1" readingOrder="1"/>
      <protection locked="0"/>
    </xf>
    <xf numFmtId="49" fontId="4" fillId="0" borderId="59" xfId="0" applyNumberFormat="1" applyFont="1" applyFill="1" applyBorder="1" applyAlignment="1" applyProtection="1">
      <alignment horizontal="center" vertical="top" wrapText="1" readingOrder="1"/>
      <protection locked="0"/>
    </xf>
    <xf numFmtId="166" fontId="4" fillId="0" borderId="59" xfId="0" applyNumberFormat="1" applyFont="1" applyFill="1" applyBorder="1" applyAlignment="1" applyProtection="1">
      <alignment vertical="top" wrapText="1" readingOrder="1"/>
      <protection locked="0"/>
    </xf>
    <xf numFmtId="164" fontId="4" fillId="0" borderId="92" xfId="0" applyNumberFormat="1" applyFont="1" applyFill="1" applyBorder="1" applyAlignment="1" applyProtection="1">
      <alignment vertical="top" wrapText="1" readingOrder="1"/>
      <protection locked="0"/>
    </xf>
    <xf numFmtId="0" fontId="7" fillId="0" borderId="92" xfId="0" applyFont="1" applyFill="1" applyBorder="1" applyAlignment="1" applyProtection="1">
      <alignment horizontal="center" vertical="top" wrapText="1" readingOrder="1"/>
      <protection locked="0"/>
    </xf>
    <xf numFmtId="0" fontId="7" fillId="0" borderId="92" xfId="0" applyFont="1" applyFill="1" applyBorder="1" applyAlignment="1" applyProtection="1">
      <alignment vertical="top" wrapText="1" readingOrder="1"/>
      <protection locked="0"/>
    </xf>
    <xf numFmtId="0" fontId="4" fillId="0" borderId="88" xfId="0" applyFont="1" applyFill="1" applyBorder="1" applyAlignment="1" applyProtection="1">
      <alignment vertical="top" wrapText="1" readingOrder="1"/>
      <protection locked="0"/>
    </xf>
    <xf numFmtId="164" fontId="4" fillId="0" borderId="88" xfId="0" applyNumberFormat="1" applyFont="1" applyFill="1" applyBorder="1" applyAlignment="1" applyProtection="1">
      <alignment vertical="top" wrapText="1" readingOrder="1"/>
      <protection locked="0"/>
    </xf>
    <xf numFmtId="0" fontId="7" fillId="0" borderId="93" xfId="0" applyFont="1" applyFill="1" applyBorder="1" applyAlignment="1" applyProtection="1">
      <alignment vertical="top" wrapText="1" readingOrder="1"/>
      <protection locked="0"/>
    </xf>
    <xf numFmtId="0" fontId="7" fillId="0" borderId="94" xfId="0" applyFont="1" applyFill="1" applyBorder="1" applyAlignment="1" applyProtection="1">
      <alignment vertical="top" wrapText="1" readingOrder="1"/>
      <protection locked="0"/>
    </xf>
    <xf numFmtId="49" fontId="7" fillId="0" borderId="92" xfId="0" applyNumberFormat="1" applyFont="1" applyFill="1" applyBorder="1" applyAlignment="1" applyProtection="1">
      <alignment horizontal="center" vertical="top" wrapText="1" readingOrder="1"/>
      <protection locked="0"/>
    </xf>
    <xf numFmtId="166" fontId="7" fillId="0" borderId="92" xfId="0" applyNumberFormat="1" applyFont="1" applyFill="1" applyBorder="1" applyAlignment="1" applyProtection="1">
      <alignment vertical="top" wrapText="1" readingOrder="1"/>
      <protection locked="0"/>
    </xf>
    <xf numFmtId="0" fontId="4" fillId="0" borderId="94" xfId="0" applyNumberFormat="1" applyFont="1" applyFill="1" applyBorder="1" applyAlignment="1" applyProtection="1">
      <alignment horizontal="center" vertical="top" wrapText="1" shrinkToFit="1"/>
      <protection locked="0"/>
    </xf>
    <xf numFmtId="14" fontId="4" fillId="0" borderId="94" xfId="0" applyNumberFormat="1" applyFont="1" applyFill="1" applyBorder="1" applyAlignment="1" applyProtection="1">
      <alignment horizontal="center" vertical="top" wrapText="1" shrinkToFit="1"/>
      <protection locked="0"/>
    </xf>
    <xf numFmtId="49" fontId="7" fillId="0" borderId="94" xfId="0" applyNumberFormat="1" applyFont="1" applyFill="1" applyBorder="1" applyAlignment="1" applyProtection="1">
      <alignment horizontal="center" vertical="top" wrapText="1" readingOrder="1"/>
      <protection locked="0"/>
    </xf>
    <xf numFmtId="166" fontId="7" fillId="0" borderId="94" xfId="0" applyNumberFormat="1" applyFont="1" applyFill="1" applyBorder="1" applyAlignment="1" applyProtection="1">
      <alignment vertical="top" wrapText="1" readingOrder="1"/>
      <protection locked="0"/>
    </xf>
    <xf numFmtId="0" fontId="4" fillId="0" borderId="92" xfId="0" applyFont="1" applyFill="1" applyBorder="1" applyAlignment="1" applyProtection="1">
      <alignment vertical="top" wrapText="1" readingOrder="1"/>
      <protection locked="0"/>
    </xf>
    <xf numFmtId="164" fontId="4" fillId="0" borderId="94" xfId="0" applyNumberFormat="1" applyFont="1" applyFill="1" applyBorder="1" applyAlignment="1" applyProtection="1">
      <alignment vertical="top" wrapText="1" readingOrder="1"/>
      <protection locked="0"/>
    </xf>
    <xf numFmtId="0" fontId="0" fillId="0" borderId="94" xfId="0" applyFill="1" applyBorder="1"/>
    <xf numFmtId="0" fontId="3" fillId="0" borderId="18" xfId="0" applyNumberFormat="1" applyFont="1" applyFill="1" applyBorder="1" applyAlignment="1" applyProtection="1">
      <alignment horizontal="center" vertical="top" wrapText="1" shrinkToFit="1"/>
      <protection locked="0"/>
    </xf>
    <xf numFmtId="164" fontId="7" fillId="0" borderId="55" xfId="0" applyNumberFormat="1" applyFont="1" applyFill="1" applyBorder="1" applyAlignment="1" applyProtection="1">
      <alignment vertical="top" wrapText="1" readingOrder="1"/>
      <protection locked="0"/>
    </xf>
    <xf numFmtId="0" fontId="3" fillId="0" borderId="91" xfId="0" applyNumberFormat="1" applyFont="1" applyFill="1" applyBorder="1" applyAlignment="1" applyProtection="1">
      <alignment horizontal="center" vertical="top" wrapText="1" shrinkToFit="1"/>
      <protection locked="0"/>
    </xf>
    <xf numFmtId="0" fontId="3" fillId="0" borderId="69" xfId="0" applyNumberFormat="1" applyFont="1" applyFill="1" applyBorder="1" applyAlignment="1" applyProtection="1">
      <alignment horizontal="center" vertical="top" wrapText="1" shrinkToFit="1"/>
      <protection locked="0"/>
    </xf>
    <xf numFmtId="166" fontId="4" fillId="0" borderId="94" xfId="0" applyNumberFormat="1" applyFont="1" applyFill="1" applyBorder="1" applyAlignment="1" applyProtection="1">
      <alignment vertical="top" wrapText="1" readingOrder="1"/>
      <protection locked="0"/>
    </xf>
    <xf numFmtId="164" fontId="7" fillId="0" borderId="84" xfId="0" applyNumberFormat="1" applyFont="1" applyFill="1" applyBorder="1" applyAlignment="1" applyProtection="1">
      <alignment vertical="top" wrapText="1" readingOrder="1"/>
      <protection locked="0"/>
    </xf>
    <xf numFmtId="0" fontId="7" fillId="0" borderId="7" xfId="0" applyFont="1" applyFill="1" applyBorder="1" applyAlignment="1" applyProtection="1">
      <alignment horizontal="center"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49" fontId="4" fillId="0" borderId="97" xfId="0" applyNumberFormat="1" applyFont="1" applyFill="1" applyBorder="1" applyAlignment="1">
      <alignment horizontal="center" vertical="top" wrapText="1"/>
    </xf>
    <xf numFmtId="0" fontId="6" fillId="0" borderId="5" xfId="0" applyNumberFormat="1" applyFont="1" applyFill="1" applyBorder="1" applyAlignment="1" applyProtection="1">
      <alignment horizontal="center" vertical="top" wrapText="1"/>
    </xf>
    <xf numFmtId="164" fontId="4" fillId="0" borderId="90" xfId="0" applyNumberFormat="1" applyFont="1" applyFill="1" applyBorder="1" applyAlignment="1" applyProtection="1">
      <alignment vertical="top" wrapText="1" readingOrder="1"/>
      <protection locked="0"/>
    </xf>
    <xf numFmtId="0" fontId="11" fillId="0" borderId="75" xfId="0" applyFont="1" applyFill="1" applyBorder="1" applyAlignment="1">
      <alignment horizontal="center" vertical="top"/>
    </xf>
    <xf numFmtId="0" fontId="3" fillId="0" borderId="100" xfId="0" applyNumberFormat="1" applyFont="1" applyFill="1" applyBorder="1" applyAlignment="1" applyProtection="1">
      <alignment horizontal="center" vertical="top" wrapText="1" shrinkToFit="1"/>
      <protection locked="0"/>
    </xf>
    <xf numFmtId="0" fontId="11" fillId="0" borderId="36" xfId="0" applyFont="1" applyFill="1" applyBorder="1" applyAlignment="1">
      <alignment horizontal="center" vertical="top"/>
    </xf>
    <xf numFmtId="0" fontId="11" fillId="0" borderId="77" xfId="0" applyFont="1" applyFill="1" applyBorder="1" applyAlignment="1">
      <alignment horizontal="center" vertical="top"/>
    </xf>
    <xf numFmtId="14" fontId="3" fillId="0" borderId="63" xfId="0" applyNumberFormat="1" applyFont="1" applyFill="1" applyBorder="1" applyAlignment="1" applyProtection="1">
      <alignment horizontal="center" vertical="top" wrapText="1" shrinkToFit="1"/>
      <protection locked="0"/>
    </xf>
    <xf numFmtId="0" fontId="4" fillId="0" borderId="98" xfId="0" applyNumberFormat="1" applyFont="1" applyFill="1" applyBorder="1" applyAlignment="1" applyProtection="1">
      <alignment horizontal="center" vertical="top" wrapText="1" shrinkToFit="1"/>
      <protection locked="0"/>
    </xf>
    <xf numFmtId="14" fontId="4" fillId="0" borderId="98" xfId="0" applyNumberFormat="1" applyFont="1" applyFill="1" applyBorder="1" applyAlignment="1" applyProtection="1">
      <alignment horizontal="center" vertical="top" wrapText="1" shrinkToFit="1"/>
      <protection locked="0"/>
    </xf>
    <xf numFmtId="0" fontId="6" fillId="0" borderId="5" xfId="0" applyNumberFormat="1" applyFont="1" applyFill="1" applyBorder="1" applyAlignment="1" applyProtection="1">
      <alignment horizontal="center" vertical="center" wrapText="1"/>
    </xf>
    <xf numFmtId="49" fontId="4" fillId="0" borderId="101" xfId="0" applyNumberFormat="1" applyFont="1" applyFill="1" applyBorder="1" applyAlignment="1" applyProtection="1">
      <alignment horizontal="center" vertical="top" wrapText="1" readingOrder="1"/>
      <protection locked="0"/>
    </xf>
    <xf numFmtId="49" fontId="4" fillId="0" borderId="73" xfId="0" applyNumberFormat="1" applyFont="1" applyFill="1" applyBorder="1" applyAlignment="1" applyProtection="1">
      <alignment horizontal="center" vertical="top" wrapText="1" readingOrder="1"/>
      <protection locked="0"/>
    </xf>
    <xf numFmtId="166" fontId="4" fillId="0" borderId="90" xfId="0" applyNumberFormat="1" applyFont="1" applyFill="1" applyBorder="1" applyAlignment="1" applyProtection="1">
      <alignment vertical="top" wrapText="1" readingOrder="1"/>
      <protection locked="0"/>
    </xf>
    <xf numFmtId="0" fontId="4" fillId="0" borderId="88" xfId="0" applyNumberFormat="1" applyFont="1" applyFill="1" applyBorder="1" applyAlignment="1" applyProtection="1">
      <alignment vertical="top" wrapText="1" shrinkToFit="1"/>
      <protection locked="0"/>
    </xf>
    <xf numFmtId="0" fontId="4" fillId="0" borderId="69" xfId="0" applyFont="1" applyFill="1" applyBorder="1" applyAlignment="1" applyProtection="1">
      <alignment vertical="top" wrapText="1" readingOrder="1"/>
      <protection locked="0"/>
    </xf>
    <xf numFmtId="49" fontId="4" fillId="0" borderId="69" xfId="0" applyNumberFormat="1" applyFont="1" applyFill="1" applyBorder="1" applyAlignment="1" applyProtection="1">
      <alignment horizontal="center" vertical="top" wrapText="1" readingOrder="1"/>
      <protection locked="0"/>
    </xf>
    <xf numFmtId="14" fontId="4" fillId="0" borderId="90" xfId="0" applyNumberFormat="1" applyFont="1" applyFill="1" applyBorder="1" applyAlignment="1" applyProtection="1">
      <alignment horizontal="center" vertical="top" wrapText="1" shrinkToFit="1"/>
      <protection locked="0"/>
    </xf>
    <xf numFmtId="0" fontId="4" fillId="0" borderId="73" xfId="0" applyFont="1" applyFill="1" applyBorder="1" applyAlignment="1" applyProtection="1">
      <alignment horizontal="center" vertical="top" wrapText="1" readingOrder="1"/>
      <protection locked="0"/>
    </xf>
    <xf numFmtId="0" fontId="4" fillId="0" borderId="64" xfId="0" applyFont="1" applyFill="1" applyBorder="1" applyAlignment="1" applyProtection="1">
      <alignment horizontal="center" vertical="top" wrapText="1" readingOrder="1"/>
      <protection locked="0"/>
    </xf>
    <xf numFmtId="0" fontId="3" fillId="0" borderId="14" xfId="0" applyNumberFormat="1" applyFont="1" applyFill="1" applyBorder="1" applyAlignment="1" applyProtection="1">
      <alignment horizontal="center" vertical="top" wrapText="1" shrinkToFit="1"/>
      <protection locked="0"/>
    </xf>
    <xf numFmtId="0" fontId="7" fillId="0" borderId="90" xfId="0" applyFont="1" applyFill="1" applyBorder="1" applyAlignment="1" applyProtection="1">
      <alignment vertical="top" wrapText="1" readingOrder="1"/>
      <protection locked="0"/>
    </xf>
    <xf numFmtId="0" fontId="7" fillId="0" borderId="90" xfId="0" applyFont="1" applyFill="1" applyBorder="1" applyAlignment="1" applyProtection="1">
      <alignment horizontal="center" vertical="top" wrapText="1" readingOrder="1"/>
      <protection locked="0"/>
    </xf>
    <xf numFmtId="49" fontId="7" fillId="0" borderId="90" xfId="0" applyNumberFormat="1" applyFont="1" applyFill="1" applyBorder="1" applyAlignment="1" applyProtection="1">
      <alignment horizontal="center" vertical="top" wrapText="1" readingOrder="1"/>
      <protection locked="0"/>
    </xf>
    <xf numFmtId="166" fontId="7" fillId="0" borderId="90" xfId="0" applyNumberFormat="1" applyFont="1" applyFill="1" applyBorder="1" applyAlignment="1" applyProtection="1">
      <alignment vertical="top" wrapText="1" readingOrder="1"/>
      <protection locked="0"/>
    </xf>
    <xf numFmtId="0" fontId="7" fillId="0" borderId="73" xfId="0" applyFont="1" applyFill="1" applyBorder="1" applyAlignment="1" applyProtection="1">
      <alignment horizontal="center" vertical="top" wrapText="1" readingOrder="1"/>
      <protection locked="0"/>
    </xf>
    <xf numFmtId="0" fontId="7" fillId="0" borderId="77" xfId="0" applyFont="1" applyFill="1" applyBorder="1" applyAlignment="1" applyProtection="1">
      <alignment vertical="top" wrapText="1" readingOrder="1"/>
      <protection locked="0"/>
    </xf>
    <xf numFmtId="0" fontId="6" fillId="0" borderId="96" xfId="0" applyNumberFormat="1" applyFont="1" applyFill="1" applyBorder="1" applyAlignment="1" applyProtection="1">
      <alignment horizontal="center" vertical="center" wrapText="1" shrinkToFit="1"/>
      <protection locked="0"/>
    </xf>
    <xf numFmtId="0" fontId="6" fillId="0" borderId="94" xfId="0" applyNumberFormat="1" applyFont="1" applyFill="1" applyBorder="1" applyAlignment="1" applyProtection="1">
      <alignment horizontal="center" vertical="center" wrapText="1" shrinkToFit="1"/>
      <protection locked="0"/>
    </xf>
    <xf numFmtId="0" fontId="4" fillId="0" borderId="103" xfId="0" applyNumberFormat="1" applyFont="1" applyFill="1" applyBorder="1" applyAlignment="1" applyProtection="1">
      <alignment horizontal="center" vertical="top" wrapText="1" shrinkToFit="1"/>
      <protection locked="0"/>
    </xf>
    <xf numFmtId="49" fontId="4" fillId="0" borderId="82" xfId="0" applyNumberFormat="1" applyFont="1" applyFill="1" applyBorder="1" applyAlignment="1" applyProtection="1">
      <alignment horizontal="center" vertical="top" wrapText="1" readingOrder="1"/>
      <protection locked="0"/>
    </xf>
    <xf numFmtId="164" fontId="4" fillId="0" borderId="82" xfId="0" applyNumberFormat="1" applyFont="1" applyFill="1" applyBorder="1" applyAlignment="1" applyProtection="1">
      <alignment vertical="top" wrapText="1" readingOrder="1"/>
      <protection locked="0"/>
    </xf>
    <xf numFmtId="164" fontId="4" fillId="0" borderId="42" xfId="0" applyNumberFormat="1" applyFont="1" applyFill="1" applyBorder="1" applyAlignment="1" applyProtection="1">
      <alignment vertical="top" wrapText="1" readingOrder="1"/>
      <protection locked="0"/>
    </xf>
    <xf numFmtId="49" fontId="4" fillId="0" borderId="103" xfId="0" applyNumberFormat="1" applyFont="1" applyFill="1" applyBorder="1" applyAlignment="1" applyProtection="1">
      <alignment horizontal="center" vertical="top" wrapText="1" readingOrder="1"/>
      <protection locked="0"/>
    </xf>
    <xf numFmtId="164" fontId="4" fillId="0" borderId="103" xfId="0" applyNumberFormat="1" applyFont="1" applyFill="1" applyBorder="1" applyAlignment="1" applyProtection="1">
      <alignment vertical="top" wrapText="1" readingOrder="1"/>
      <protection locked="0"/>
    </xf>
    <xf numFmtId="164" fontId="4" fillId="0" borderId="104" xfId="0" applyNumberFormat="1" applyFont="1" applyFill="1" applyBorder="1" applyAlignment="1" applyProtection="1">
      <alignment vertical="top" wrapText="1" readingOrder="1"/>
      <protection locked="0"/>
    </xf>
    <xf numFmtId="49" fontId="4" fillId="0" borderId="36" xfId="0" applyNumberFormat="1" applyFont="1" applyFill="1" applyBorder="1" applyAlignment="1" applyProtection="1">
      <alignment horizontal="center" vertical="top" wrapText="1" readingOrder="1"/>
      <protection locked="0"/>
    </xf>
    <xf numFmtId="0" fontId="4" fillId="0" borderId="77" xfId="0" applyNumberFormat="1" applyFont="1" applyFill="1" applyBorder="1" applyAlignment="1" applyProtection="1">
      <alignment vertical="top" wrapText="1" shrinkToFit="1"/>
      <protection locked="0"/>
    </xf>
    <xf numFmtId="0" fontId="4" fillId="0" borderId="77" xfId="0" applyNumberFormat="1" applyFont="1" applyFill="1" applyBorder="1" applyAlignment="1" applyProtection="1">
      <alignment horizontal="center" vertical="top" wrapText="1" shrinkToFit="1" readingOrder="1"/>
      <protection locked="0"/>
    </xf>
    <xf numFmtId="14" fontId="3" fillId="0" borderId="57"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center" wrapText="1" shrinkToFit="1"/>
      <protection locked="0"/>
    </xf>
    <xf numFmtId="0" fontId="3" fillId="0" borderId="57" xfId="0" applyNumberFormat="1" applyFont="1" applyFill="1" applyBorder="1" applyAlignment="1" applyProtection="1">
      <alignment horizontal="center" vertical="center" wrapText="1" shrinkToFit="1"/>
      <protection locked="0"/>
    </xf>
    <xf numFmtId="164" fontId="7" fillId="0" borderId="90" xfId="0" applyNumberFormat="1" applyFont="1" applyFill="1" applyBorder="1" applyAlignment="1" applyProtection="1">
      <alignment vertical="top" wrapText="1" readingOrder="1"/>
      <protection locked="0"/>
    </xf>
    <xf numFmtId="164" fontId="7" fillId="0" borderId="94" xfId="0" applyNumberFormat="1" applyFont="1" applyFill="1" applyBorder="1" applyAlignment="1" applyProtection="1">
      <alignment vertical="top" wrapText="1" readingOrder="1"/>
      <protection locked="0"/>
    </xf>
    <xf numFmtId="49" fontId="4" fillId="0" borderId="42" xfId="0" applyNumberFormat="1" applyFont="1" applyFill="1" applyBorder="1" applyAlignment="1" applyProtection="1">
      <alignment horizontal="center" vertical="top" wrapText="1" readingOrder="1"/>
      <protection locked="0"/>
    </xf>
    <xf numFmtId="166" fontId="4" fillId="0" borderId="37" xfId="0" applyNumberFormat="1" applyFont="1" applyFill="1" applyBorder="1" applyAlignment="1" applyProtection="1">
      <alignment vertical="top" wrapText="1" readingOrder="1"/>
      <protection locked="0"/>
    </xf>
    <xf numFmtId="0" fontId="6" fillId="0" borderId="88" xfId="0" applyNumberFormat="1" applyFont="1" applyFill="1" applyBorder="1" applyAlignment="1" applyProtection="1">
      <alignment vertical="top" wrapText="1"/>
    </xf>
    <xf numFmtId="49" fontId="4" fillId="0" borderId="6" xfId="0" applyNumberFormat="1" applyFont="1" applyFill="1" applyBorder="1" applyAlignment="1" applyProtection="1">
      <alignment horizontal="center" vertical="top" wrapText="1" readingOrder="1"/>
      <protection locked="0"/>
    </xf>
    <xf numFmtId="49" fontId="4" fillId="0" borderId="4"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49" fontId="4" fillId="0" borderId="5" xfId="0" applyNumberFormat="1" applyFont="1" applyFill="1" applyBorder="1" applyAlignment="1" applyProtection="1">
      <alignment horizontal="center" vertical="top" wrapText="1" readingOrder="1"/>
      <protection locked="0"/>
    </xf>
    <xf numFmtId="0" fontId="4" fillId="0" borderId="4" xfId="0" applyFont="1" applyFill="1" applyBorder="1" applyAlignment="1">
      <alignment horizontal="center" vertical="top" wrapText="1"/>
    </xf>
    <xf numFmtId="0" fontId="3" fillId="0" borderId="1" xfId="0" applyNumberFormat="1" applyFont="1" applyFill="1" applyBorder="1" applyAlignment="1" applyProtection="1">
      <alignment horizontal="center" vertical="center" wrapText="1" shrinkToFit="1"/>
      <protection locked="0"/>
    </xf>
    <xf numFmtId="49" fontId="7" fillId="0" borderId="2" xfId="0" applyNumberFormat="1" applyFont="1" applyFill="1" applyBorder="1" applyAlignment="1" applyProtection="1">
      <alignment horizontal="center" vertical="top" wrapText="1" readingOrder="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0" fontId="4" fillId="0" borderId="57" xfId="0" applyFont="1" applyFill="1" applyBorder="1" applyAlignment="1" applyProtection="1">
      <alignment horizontal="center" vertical="top" wrapText="1" readingOrder="1"/>
      <protection locked="0"/>
    </xf>
    <xf numFmtId="14" fontId="3" fillId="0" borderId="11" xfId="0" applyNumberFormat="1" applyFont="1" applyFill="1" applyBorder="1" applyAlignment="1" applyProtection="1">
      <alignment horizontal="center" vertical="top" wrapText="1" shrinkToFit="1"/>
      <protection locked="0"/>
    </xf>
    <xf numFmtId="164" fontId="4" fillId="0" borderId="5" xfId="0" applyNumberFormat="1" applyFont="1" applyFill="1" applyBorder="1" applyAlignment="1" applyProtection="1">
      <alignment horizontal="center" vertical="top" wrapText="1" readingOrder="1"/>
      <protection locked="0"/>
    </xf>
    <xf numFmtId="164" fontId="4" fillId="0" borderId="18" xfId="0" applyNumberFormat="1" applyFont="1" applyFill="1" applyBorder="1" applyAlignment="1" applyProtection="1">
      <alignment horizontal="center" vertical="top" wrapText="1" readingOrder="1"/>
      <protection locked="0"/>
    </xf>
    <xf numFmtId="164" fontId="4" fillId="0" borderId="59" xfId="0" applyNumberFormat="1" applyFont="1" applyFill="1" applyBorder="1" applyAlignment="1" applyProtection="1">
      <alignment vertical="top" wrapText="1" readingOrder="1"/>
      <protection locked="0"/>
    </xf>
    <xf numFmtId="164" fontId="4" fillId="0" borderId="48" xfId="0" applyNumberFormat="1" applyFont="1" applyFill="1" applyBorder="1" applyAlignment="1" applyProtection="1">
      <alignment vertical="top" wrapText="1" readingOrder="1"/>
      <protection locked="0"/>
    </xf>
    <xf numFmtId="164" fontId="4" fillId="0" borderId="61" xfId="0" applyNumberFormat="1" applyFont="1" applyFill="1" applyBorder="1" applyAlignment="1" applyProtection="1">
      <alignment vertical="top" wrapText="1" readingOrder="1"/>
      <protection locked="0"/>
    </xf>
    <xf numFmtId="164" fontId="4" fillId="0" borderId="86" xfId="0" applyNumberFormat="1" applyFont="1" applyFill="1" applyBorder="1" applyAlignment="1" applyProtection="1">
      <alignment vertical="top" wrapText="1" readingOrder="1"/>
      <protection locked="0"/>
    </xf>
    <xf numFmtId="164" fontId="4" fillId="0" borderId="27" xfId="0" applyNumberFormat="1" applyFont="1" applyFill="1" applyBorder="1" applyAlignment="1" applyProtection="1">
      <alignment horizontal="right" vertical="center" wrapText="1" readingOrder="1"/>
      <protection locked="0"/>
    </xf>
    <xf numFmtId="164" fontId="8" fillId="0" borderId="14" xfId="0" applyNumberFormat="1" applyFont="1" applyFill="1" applyBorder="1" applyAlignment="1" applyProtection="1">
      <alignment vertical="top" wrapText="1" readingOrder="1"/>
      <protection locked="0"/>
    </xf>
    <xf numFmtId="164" fontId="7" fillId="0" borderId="4" xfId="0" applyNumberFormat="1" applyFont="1" applyFill="1" applyBorder="1" applyAlignment="1" applyProtection="1">
      <alignment vertical="top" wrapText="1" readingOrder="1"/>
      <protection locked="0"/>
    </xf>
    <xf numFmtId="164" fontId="7" fillId="0" borderId="92" xfId="0" applyNumberFormat="1" applyFont="1" applyFill="1" applyBorder="1" applyAlignment="1" applyProtection="1">
      <alignment vertical="top" wrapText="1" readingOrder="1"/>
      <protection locked="0"/>
    </xf>
    <xf numFmtId="164" fontId="2" fillId="0" borderId="0" xfId="0" applyNumberFormat="1" applyFont="1" applyFill="1"/>
    <xf numFmtId="0" fontId="7" fillId="0" borderId="103" xfId="0" applyFont="1" applyFill="1" applyBorder="1" applyAlignment="1" applyProtection="1">
      <alignment vertical="top" wrapText="1" readingOrder="1"/>
      <protection locked="0"/>
    </xf>
    <xf numFmtId="0" fontId="7" fillId="0" borderId="103" xfId="0" applyFont="1" applyFill="1" applyBorder="1" applyAlignment="1" applyProtection="1">
      <alignment horizontal="center" vertical="top" wrapText="1" readingOrder="1"/>
      <protection locked="0"/>
    </xf>
    <xf numFmtId="164" fontId="7" fillId="0" borderId="103" xfId="0" applyNumberFormat="1" applyFont="1" applyFill="1" applyBorder="1" applyAlignment="1" applyProtection="1">
      <alignment vertical="top" wrapText="1" readingOrder="1"/>
      <protection locked="0"/>
    </xf>
    <xf numFmtId="0" fontId="7" fillId="0" borderId="103" xfId="0" applyNumberFormat="1" applyFont="1" applyFill="1" applyBorder="1" applyAlignment="1" applyProtection="1">
      <alignment vertical="top" wrapText="1" readingOrder="1"/>
      <protection locked="0"/>
    </xf>
    <xf numFmtId="0" fontId="6" fillId="0" borderId="75" xfId="1" applyFont="1" applyFill="1" applyBorder="1" applyAlignment="1">
      <alignment horizontal="center" vertical="top" wrapText="1"/>
    </xf>
    <xf numFmtId="0" fontId="6" fillId="0" borderId="75" xfId="0" applyNumberFormat="1" applyFont="1" applyFill="1" applyBorder="1" applyAlignment="1" applyProtection="1">
      <alignment horizontal="center" vertical="top" wrapText="1" shrinkToFit="1"/>
      <protection locked="0"/>
    </xf>
    <xf numFmtId="0" fontId="6" fillId="0" borderId="75" xfId="0" applyNumberFormat="1" applyFont="1" applyFill="1" applyBorder="1" applyAlignment="1" applyProtection="1">
      <alignment vertical="top" wrapText="1" shrinkToFit="1"/>
      <protection locked="0"/>
    </xf>
    <xf numFmtId="0" fontId="7" fillId="0" borderId="75" xfId="0" applyFont="1" applyFill="1" applyBorder="1" applyAlignment="1" applyProtection="1">
      <alignment horizontal="center" vertical="top" wrapText="1" readingOrder="1"/>
      <protection locked="0"/>
    </xf>
    <xf numFmtId="49" fontId="7" fillId="0" borderId="110" xfId="0" applyNumberFormat="1" applyFont="1" applyFill="1" applyBorder="1" applyAlignment="1" applyProtection="1">
      <alignment horizontal="center" vertical="top" wrapText="1" readingOrder="1"/>
      <protection locked="0"/>
    </xf>
    <xf numFmtId="49" fontId="7" fillId="0" borderId="111" xfId="0" applyNumberFormat="1" applyFont="1" applyFill="1" applyBorder="1" applyAlignment="1" applyProtection="1">
      <alignment horizontal="center" vertical="top" wrapText="1" readingOrder="1"/>
      <protection locked="0"/>
    </xf>
    <xf numFmtId="164" fontId="7" fillId="0" borderId="111" xfId="0" applyNumberFormat="1" applyFont="1" applyFill="1" applyBorder="1" applyAlignment="1" applyProtection="1">
      <alignment vertical="top" wrapText="1" readingOrder="1"/>
      <protection locked="0"/>
    </xf>
    <xf numFmtId="164" fontId="4" fillId="0" borderId="108" xfId="0" applyNumberFormat="1" applyFont="1" applyFill="1" applyBorder="1" applyAlignment="1" applyProtection="1">
      <alignment vertical="top" wrapText="1" readingOrder="1"/>
      <protection locked="0"/>
    </xf>
    <xf numFmtId="164" fontId="4" fillId="0" borderId="109" xfId="0" applyNumberFormat="1" applyFont="1" applyFill="1" applyBorder="1" applyAlignment="1" applyProtection="1">
      <alignment vertical="top" wrapText="1" readingOrder="1"/>
      <protection locked="0"/>
    </xf>
    <xf numFmtId="14" fontId="3" fillId="0" borderId="77" xfId="0" applyNumberFormat="1" applyFont="1" applyFill="1" applyBorder="1" applyAlignment="1" applyProtection="1">
      <alignment horizontal="center" vertical="top" wrapText="1" shrinkToFit="1" readingOrder="1"/>
      <protection locked="0"/>
    </xf>
    <xf numFmtId="14" fontId="7" fillId="0" borderId="5" xfId="0" applyNumberFormat="1" applyFont="1" applyFill="1" applyBorder="1" applyAlignment="1" applyProtection="1">
      <alignment horizontal="left" vertical="top" wrapText="1" readingOrder="1"/>
      <protection locked="0"/>
    </xf>
    <xf numFmtId="0" fontId="3" fillId="0" borderId="75" xfId="0" applyNumberFormat="1" applyFont="1" applyFill="1" applyBorder="1" applyAlignment="1" applyProtection="1">
      <alignment horizontal="center" vertical="top" wrapText="1" shrinkToFit="1"/>
      <protection locked="0"/>
    </xf>
    <xf numFmtId="14" fontId="3" fillId="0" borderId="75" xfId="0" applyNumberFormat="1" applyFont="1" applyFill="1" applyBorder="1" applyAlignment="1" applyProtection="1">
      <alignment horizontal="center" vertical="top" wrapText="1" shrinkToFit="1"/>
      <protection locked="0"/>
    </xf>
    <xf numFmtId="0" fontId="4" fillId="0" borderId="112" xfId="0" applyFont="1" applyFill="1" applyBorder="1" applyAlignment="1" applyProtection="1">
      <alignment vertical="top" wrapText="1" readingOrder="1"/>
      <protection locked="0"/>
    </xf>
    <xf numFmtId="0" fontId="4" fillId="0" borderId="112" xfId="0" applyFont="1" applyFill="1" applyBorder="1" applyAlignment="1" applyProtection="1">
      <alignment horizontal="center" vertical="top" wrapText="1" readingOrder="1"/>
      <protection locked="0"/>
    </xf>
    <xf numFmtId="0" fontId="3" fillId="0" borderId="113" xfId="0" applyNumberFormat="1" applyFont="1" applyFill="1" applyBorder="1" applyAlignment="1" applyProtection="1">
      <alignment horizontal="center" vertical="top" wrapText="1" shrinkToFit="1"/>
      <protection locked="0"/>
    </xf>
    <xf numFmtId="0" fontId="3" fillId="0" borderId="114" xfId="0" applyNumberFormat="1" applyFont="1" applyFill="1" applyBorder="1" applyAlignment="1" applyProtection="1">
      <alignment horizontal="center" vertical="top" wrapText="1" shrinkToFit="1"/>
      <protection locked="0"/>
    </xf>
    <xf numFmtId="14" fontId="3" fillId="0" borderId="114" xfId="0" applyNumberFormat="1" applyFont="1" applyFill="1" applyBorder="1" applyAlignment="1" applyProtection="1">
      <alignment horizontal="center" vertical="top" wrapText="1" shrinkToFit="1"/>
      <protection locked="0"/>
    </xf>
    <xf numFmtId="0" fontId="3" fillId="0" borderId="115" xfId="0" applyNumberFormat="1" applyFont="1" applyFill="1" applyBorder="1" applyAlignment="1" applyProtection="1">
      <alignment horizontal="center" vertical="top" wrapText="1" shrinkToFit="1"/>
      <protection locked="0"/>
    </xf>
    <xf numFmtId="164" fontId="4" fillId="0" borderId="112" xfId="0" applyNumberFormat="1" applyFont="1" applyFill="1" applyBorder="1" applyAlignment="1" applyProtection="1">
      <alignment vertical="top" wrapText="1" readingOrder="1"/>
      <protection locked="0"/>
    </xf>
    <xf numFmtId="49" fontId="17" fillId="0" borderId="107" xfId="0" applyNumberFormat="1" applyFont="1" applyFill="1" applyBorder="1" applyAlignment="1" applyProtection="1">
      <alignment horizontal="center" vertical="top" wrapText="1" readingOrder="1"/>
      <protection locked="0"/>
    </xf>
    <xf numFmtId="164" fontId="17" fillId="0" borderId="107" xfId="0" applyNumberFormat="1" applyFont="1" applyFill="1" applyBorder="1" applyAlignment="1" applyProtection="1">
      <alignment vertical="top" wrapText="1" readingOrder="1"/>
      <protection locked="0"/>
    </xf>
    <xf numFmtId="49" fontId="17" fillId="0" borderId="94" xfId="0" applyNumberFormat="1" applyFont="1" applyFill="1" applyBorder="1" applyAlignment="1" applyProtection="1">
      <alignment horizontal="center" vertical="top" wrapText="1" readingOrder="1"/>
      <protection locked="0"/>
    </xf>
    <xf numFmtId="164" fontId="17" fillId="0" borderId="94" xfId="0" applyNumberFormat="1" applyFont="1" applyFill="1" applyBorder="1" applyAlignment="1" applyProtection="1">
      <alignment vertical="top" wrapText="1" readingOrder="1"/>
      <protection locked="0"/>
    </xf>
    <xf numFmtId="49" fontId="4" fillId="0" borderId="118" xfId="0" applyNumberFormat="1" applyFont="1" applyFill="1" applyBorder="1" applyAlignment="1" applyProtection="1">
      <alignment horizontal="center" vertical="top" wrapText="1" readingOrder="1"/>
      <protection locked="0"/>
    </xf>
    <xf numFmtId="49" fontId="4" fillId="0" borderId="116" xfId="0" applyNumberFormat="1" applyFont="1" applyFill="1" applyBorder="1" applyAlignment="1" applyProtection="1">
      <alignment horizontal="center" vertical="top" wrapText="1" readingOrder="1"/>
      <protection locked="0"/>
    </xf>
    <xf numFmtId="164" fontId="4" fillId="0" borderId="116" xfId="0" applyNumberFormat="1" applyFont="1" applyFill="1" applyBorder="1" applyAlignment="1" applyProtection="1">
      <alignment vertical="top" wrapText="1" readingOrder="1"/>
      <protection locked="0"/>
    </xf>
    <xf numFmtId="49" fontId="4" fillId="0" borderId="43" xfId="0" applyNumberFormat="1" applyFont="1" applyFill="1" applyBorder="1" applyAlignment="1" applyProtection="1">
      <alignment horizontal="center" vertical="top" wrapText="1" readingOrder="1"/>
      <protection locked="0"/>
    </xf>
    <xf numFmtId="0" fontId="4" fillId="0" borderId="119" xfId="0" applyFont="1" applyFill="1" applyBorder="1" applyAlignment="1" applyProtection="1">
      <alignment horizontal="left" vertical="top" wrapText="1" readingOrder="1"/>
      <protection locked="0"/>
    </xf>
    <xf numFmtId="49" fontId="4" fillId="0" borderId="119" xfId="0" applyNumberFormat="1" applyFont="1" applyFill="1" applyBorder="1" applyAlignment="1" applyProtection="1">
      <alignment horizontal="center" vertical="top" wrapText="1" readingOrder="1"/>
      <protection locked="0"/>
    </xf>
    <xf numFmtId="0" fontId="4" fillId="0" borderId="119" xfId="0" applyFont="1" applyFill="1" applyBorder="1" applyAlignment="1" applyProtection="1">
      <alignment horizontal="center" vertical="top" wrapText="1" readingOrder="1"/>
      <protection locked="0"/>
    </xf>
    <xf numFmtId="0" fontId="3" fillId="0" borderId="119" xfId="0" applyNumberFormat="1" applyFont="1" applyFill="1" applyBorder="1" applyAlignment="1" applyProtection="1">
      <alignment horizontal="center" vertical="top" wrapText="1" shrinkToFit="1"/>
      <protection locked="0"/>
    </xf>
    <xf numFmtId="164" fontId="4" fillId="0" borderId="119" xfId="0" applyNumberFormat="1" applyFont="1" applyFill="1" applyBorder="1" applyAlignment="1" applyProtection="1">
      <alignment vertical="top" wrapText="1" readingOrder="1"/>
      <protection locked="0"/>
    </xf>
    <xf numFmtId="164" fontId="4" fillId="0" borderId="120" xfId="0" applyNumberFormat="1" applyFont="1" applyFill="1" applyBorder="1" applyAlignment="1" applyProtection="1">
      <alignment vertical="top" wrapText="1" readingOrder="1"/>
      <protection locked="0"/>
    </xf>
    <xf numFmtId="49" fontId="12" fillId="0" borderId="5"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0" fontId="7" fillId="0" borderId="121" xfId="0" applyFont="1" applyFill="1" applyBorder="1" applyAlignment="1" applyProtection="1">
      <alignment vertical="top" wrapText="1" readingOrder="1"/>
      <protection locked="0"/>
    </xf>
    <xf numFmtId="0" fontId="7" fillId="0" borderId="121" xfId="0" applyFont="1" applyFill="1" applyBorder="1" applyAlignment="1" applyProtection="1">
      <alignment horizontal="center" vertical="top" wrapText="1" readingOrder="1"/>
      <protection locked="0"/>
    </xf>
    <xf numFmtId="0" fontId="7" fillId="0" borderId="122" xfId="0" applyFont="1" applyFill="1" applyBorder="1" applyAlignment="1" applyProtection="1">
      <alignment vertical="top" wrapText="1" readingOrder="1"/>
      <protection locked="0"/>
    </xf>
    <xf numFmtId="49" fontId="7" fillId="0" borderId="107" xfId="0" applyNumberFormat="1" applyFont="1" applyFill="1" applyBorder="1" applyAlignment="1" applyProtection="1">
      <alignment horizontal="center" vertical="top" wrapText="1" readingOrder="1"/>
      <protection locked="0"/>
    </xf>
    <xf numFmtId="0" fontId="9" fillId="0" borderId="121" xfId="0" applyNumberFormat="1" applyFont="1" applyFill="1" applyBorder="1" applyAlignment="1" applyProtection="1">
      <alignment horizontal="center" vertical="center" wrapText="1" shrinkToFit="1"/>
      <protection locked="0"/>
    </xf>
    <xf numFmtId="0" fontId="4" fillId="0" borderId="123" xfId="0" applyFont="1" applyFill="1" applyBorder="1" applyAlignment="1" applyProtection="1">
      <alignment horizontal="center" vertical="top" wrapText="1" readingOrder="1"/>
      <protection locked="0"/>
    </xf>
    <xf numFmtId="164" fontId="4" fillId="0" borderId="123" xfId="0" applyNumberFormat="1" applyFont="1" applyFill="1" applyBorder="1" applyAlignment="1" applyProtection="1">
      <alignment vertical="top" wrapText="1" readingOrder="1"/>
      <protection locked="0"/>
    </xf>
    <xf numFmtId="49" fontId="4" fillId="0" borderId="124" xfId="0" applyNumberFormat="1" applyFont="1" applyFill="1" applyBorder="1" applyAlignment="1" applyProtection="1">
      <alignment horizontal="center" vertical="top" wrapText="1" readingOrder="1"/>
      <protection locked="0"/>
    </xf>
    <xf numFmtId="49" fontId="4" fillId="0" borderId="125" xfId="0" applyNumberFormat="1" applyFont="1" applyFill="1" applyBorder="1" applyAlignment="1" applyProtection="1">
      <alignment horizontal="center" vertical="top" wrapText="1" readingOrder="1"/>
      <protection locked="0"/>
    </xf>
    <xf numFmtId="164" fontId="4" fillId="0" borderId="125" xfId="0" applyNumberFormat="1" applyFont="1" applyFill="1" applyBorder="1" applyAlignment="1" applyProtection="1">
      <alignment vertical="top" wrapText="1" readingOrder="1"/>
      <protection locked="0"/>
    </xf>
    <xf numFmtId="166" fontId="4" fillId="0" borderId="125" xfId="0" applyNumberFormat="1" applyFont="1" applyFill="1" applyBorder="1" applyAlignment="1" applyProtection="1">
      <alignment vertical="top" wrapText="1" readingOrder="1"/>
      <protection locked="0"/>
    </xf>
    <xf numFmtId="49" fontId="12" fillId="2" borderId="5" xfId="0" applyNumberFormat="1" applyFont="1" applyFill="1" applyBorder="1" applyAlignment="1">
      <alignment horizontal="center" vertical="center"/>
    </xf>
    <xf numFmtId="4" fontId="13" fillId="2" borderId="0" xfId="0" applyNumberFormat="1" applyFont="1" applyFill="1"/>
    <xf numFmtId="0" fontId="3" fillId="0" borderId="121" xfId="0" applyNumberFormat="1" applyFont="1" applyFill="1" applyBorder="1" applyAlignment="1" applyProtection="1">
      <alignment horizontal="center" vertical="top" wrapText="1" shrinkToFit="1"/>
      <protection locked="0"/>
    </xf>
    <xf numFmtId="0" fontId="17" fillId="0" borderId="75" xfId="0" applyFont="1" applyFill="1" applyBorder="1" applyAlignment="1" applyProtection="1">
      <alignment vertical="top" wrapText="1" readingOrder="1"/>
      <protection locked="0"/>
    </xf>
    <xf numFmtId="49" fontId="4" fillId="0" borderId="120" xfId="0" applyNumberFormat="1" applyFont="1" applyFill="1" applyBorder="1" applyAlignment="1" applyProtection="1">
      <alignment horizontal="center" vertical="top" wrapText="1" readingOrder="1"/>
      <protection locked="0"/>
    </xf>
    <xf numFmtId="49" fontId="17" fillId="0" borderId="120" xfId="0" applyNumberFormat="1" applyFont="1" applyFill="1" applyBorder="1" applyAlignment="1" applyProtection="1">
      <alignment horizontal="center" vertical="top" wrapText="1" readingOrder="1"/>
      <protection locked="0"/>
    </xf>
    <xf numFmtId="164" fontId="17" fillId="0" borderId="120" xfId="0" applyNumberFormat="1" applyFont="1" applyFill="1" applyBorder="1" applyAlignment="1" applyProtection="1">
      <alignment vertical="top" wrapText="1" readingOrder="1"/>
      <protection locked="0"/>
    </xf>
    <xf numFmtId="0" fontId="4" fillId="0" borderId="117" xfId="0" applyFont="1" applyFill="1" applyBorder="1" applyAlignment="1" applyProtection="1">
      <alignment horizontal="center" vertical="top" wrapText="1" readingOrder="1"/>
      <protection locked="0"/>
    </xf>
    <xf numFmtId="164" fontId="4" fillId="0" borderId="117" xfId="0" applyNumberFormat="1" applyFont="1" applyFill="1" applyBorder="1" applyAlignment="1" applyProtection="1">
      <alignment vertical="top" wrapText="1" readingOrder="1"/>
      <protection locked="0"/>
    </xf>
    <xf numFmtId="0" fontId="8" fillId="0" borderId="126" xfId="0" applyFont="1" applyFill="1" applyBorder="1" applyAlignment="1" applyProtection="1">
      <alignment vertical="top" wrapText="1" readingOrder="1"/>
      <protection locked="0"/>
    </xf>
    <xf numFmtId="0" fontId="8" fillId="0" borderId="126" xfId="0" applyFont="1" applyFill="1" applyBorder="1" applyAlignment="1" applyProtection="1">
      <alignment horizontal="center" vertical="top" wrapText="1" readingOrder="1"/>
      <protection locked="0"/>
    </xf>
    <xf numFmtId="49" fontId="8" fillId="0" borderId="121" xfId="0" applyNumberFormat="1" applyFont="1" applyFill="1" applyBorder="1" applyAlignment="1" applyProtection="1">
      <alignment horizontal="center" vertical="top" wrapText="1" readingOrder="1"/>
      <protection locked="0"/>
    </xf>
    <xf numFmtId="164" fontId="8" fillId="0" borderId="121" xfId="0" applyNumberFormat="1" applyFont="1" applyFill="1" applyBorder="1" applyAlignment="1" applyProtection="1">
      <alignment vertical="top" wrapText="1" readingOrder="1"/>
      <protection locked="0"/>
    </xf>
    <xf numFmtId="0" fontId="7" fillId="0" borderId="127" xfId="0" applyFont="1" applyFill="1" applyBorder="1" applyAlignment="1" applyProtection="1">
      <alignment horizontal="left" vertical="top" wrapText="1" readingOrder="1"/>
      <protection locked="0"/>
    </xf>
    <xf numFmtId="0" fontId="3" fillId="0" borderId="2" xfId="0" applyNumberFormat="1" applyFont="1" applyFill="1" applyBorder="1" applyAlignment="1" applyProtection="1">
      <alignment horizontal="center" vertical="center" wrapText="1" shrinkToFit="1"/>
      <protection locked="0"/>
    </xf>
    <xf numFmtId="0" fontId="4" fillId="0" borderId="117" xfId="0" applyFont="1" applyFill="1" applyBorder="1" applyAlignment="1" applyProtection="1">
      <alignment vertical="top" wrapText="1" readingOrder="1"/>
      <protection locked="0"/>
    </xf>
    <xf numFmtId="49" fontId="4" fillId="0" borderId="117" xfId="0" applyNumberFormat="1" applyFont="1" applyFill="1" applyBorder="1" applyAlignment="1" applyProtection="1">
      <alignment horizontal="center" vertical="top" wrapText="1" readingOrder="1"/>
      <protection locked="0"/>
    </xf>
    <xf numFmtId="4" fontId="4" fillId="0" borderId="27" xfId="0" applyNumberFormat="1" applyFont="1" applyFill="1" applyBorder="1" applyAlignment="1" applyProtection="1">
      <alignment horizontal="right" vertical="center" wrapText="1" readingOrder="1"/>
      <protection locked="0"/>
    </xf>
    <xf numFmtId="0" fontId="4" fillId="0" borderId="120" xfId="0" applyFont="1" applyFill="1" applyBorder="1" applyAlignment="1" applyProtection="1">
      <alignment horizontal="center" vertical="top" wrapText="1" readingOrder="1"/>
      <protection locked="0"/>
    </xf>
    <xf numFmtId="0" fontId="7" fillId="0" borderId="126" xfId="0" applyFont="1" applyFill="1" applyBorder="1" applyAlignment="1" applyProtection="1">
      <alignment horizontal="center" vertical="top" wrapText="1" readingOrder="1"/>
      <protection locked="0"/>
    </xf>
    <xf numFmtId="0" fontId="4" fillId="0" borderId="126" xfId="0" applyFont="1" applyFill="1" applyBorder="1" applyAlignment="1" applyProtection="1">
      <alignment horizontal="center" vertical="top" wrapText="1" readingOrder="1"/>
      <protection locked="0"/>
    </xf>
    <xf numFmtId="0" fontId="4" fillId="0" borderId="126" xfId="0" applyFont="1" applyFill="1" applyBorder="1" applyAlignment="1" applyProtection="1">
      <alignment vertical="top" wrapText="1" readingOrder="1"/>
      <protection locked="0"/>
    </xf>
    <xf numFmtId="49" fontId="4" fillId="0" borderId="126" xfId="0" applyNumberFormat="1" applyFont="1" applyFill="1" applyBorder="1" applyAlignment="1" applyProtection="1">
      <alignment horizontal="center" vertical="top" wrapText="1" readingOrder="1"/>
      <protection locked="0"/>
    </xf>
    <xf numFmtId="164" fontId="7" fillId="0" borderId="126" xfId="0" applyNumberFormat="1" applyFont="1" applyFill="1" applyBorder="1" applyAlignment="1" applyProtection="1">
      <alignment vertical="top" wrapText="1" readingOrder="1"/>
      <protection locked="0"/>
    </xf>
    <xf numFmtId="164" fontId="7" fillId="0" borderId="128" xfId="0" applyNumberFormat="1" applyFont="1" applyFill="1" applyBorder="1" applyAlignment="1" applyProtection="1">
      <alignment vertical="top" wrapText="1" readingOrder="1"/>
      <protection locked="0"/>
    </xf>
    <xf numFmtId="0" fontId="3" fillId="0" borderId="77" xfId="0" applyNumberFormat="1" applyFont="1" applyFill="1" applyBorder="1" applyAlignment="1" applyProtection="1">
      <alignment vertical="center" wrapText="1" shrinkToFit="1"/>
      <protection locked="0"/>
    </xf>
    <xf numFmtId="49" fontId="4" fillId="0" borderId="65" xfId="0" applyNumberFormat="1" applyFont="1" applyFill="1" applyBorder="1" applyAlignment="1" applyProtection="1">
      <alignment horizontal="center" vertical="top" wrapText="1" readingOrder="1"/>
      <protection locked="0"/>
    </xf>
    <xf numFmtId="0" fontId="6" fillId="0" borderId="75" xfId="0" applyNumberFormat="1" applyFont="1" applyFill="1" applyBorder="1" applyAlignment="1" applyProtection="1">
      <alignment horizontal="center" vertical="top" wrapText="1" readingOrder="1"/>
    </xf>
    <xf numFmtId="164" fontId="4" fillId="0" borderId="129" xfId="0" applyNumberFormat="1" applyFont="1" applyFill="1" applyBorder="1" applyAlignment="1" applyProtection="1">
      <alignment vertical="top" wrapText="1" readingOrder="1"/>
      <protection locked="0"/>
    </xf>
    <xf numFmtId="166" fontId="7" fillId="0" borderId="76" xfId="0" applyNumberFormat="1" applyFont="1" applyFill="1" applyBorder="1" applyAlignment="1" applyProtection="1">
      <alignment vertical="top" wrapText="1" readingOrder="1"/>
      <protection locked="0"/>
    </xf>
    <xf numFmtId="164" fontId="7" fillId="0" borderId="1" xfId="0" applyNumberFormat="1" applyFont="1" applyFill="1" applyBorder="1" applyAlignment="1" applyProtection="1">
      <alignment horizontal="right" vertical="top" wrapText="1" readingOrder="1"/>
      <protection locked="0"/>
    </xf>
    <xf numFmtId="166" fontId="7" fillId="0" borderId="75" xfId="0" applyNumberFormat="1" applyFont="1" applyFill="1" applyBorder="1" applyAlignment="1" applyProtection="1">
      <alignment horizontal="right" vertical="top" wrapText="1" readingOrder="1"/>
      <protection locked="0"/>
    </xf>
    <xf numFmtId="166" fontId="7" fillId="0" borderId="1" xfId="0" applyNumberFormat="1" applyFont="1" applyFill="1" applyBorder="1" applyAlignment="1" applyProtection="1">
      <alignment horizontal="right" vertical="top" wrapText="1" readingOrder="1"/>
      <protection locked="0"/>
    </xf>
    <xf numFmtId="49" fontId="4" fillId="0" borderId="107" xfId="0" applyNumberFormat="1" applyFont="1" applyFill="1" applyBorder="1" applyAlignment="1" applyProtection="1">
      <alignment horizontal="center" vertical="top" wrapText="1" readingOrder="1"/>
      <protection locked="0"/>
    </xf>
    <xf numFmtId="0" fontId="4" fillId="0" borderId="88" xfId="1" applyNumberFormat="1" applyFont="1" applyFill="1" applyBorder="1" applyAlignment="1">
      <alignment horizontal="center" vertical="top" wrapText="1"/>
    </xf>
    <xf numFmtId="0" fontId="6" fillId="0" borderId="88" xfId="0" applyNumberFormat="1" applyFont="1" applyFill="1" applyBorder="1" applyAlignment="1" applyProtection="1">
      <alignment horizontal="center" vertical="top" wrapText="1" readingOrder="1"/>
    </xf>
    <xf numFmtId="0" fontId="4" fillId="0" borderId="116" xfId="0" applyFont="1" applyFill="1" applyBorder="1" applyAlignment="1" applyProtection="1">
      <alignment horizontal="center" vertical="top" wrapText="1" readingOrder="1"/>
      <protection locked="0"/>
    </xf>
    <xf numFmtId="0" fontId="4" fillId="0" borderId="88" xfId="0" applyFont="1" applyFill="1" applyBorder="1" applyAlignment="1" applyProtection="1">
      <alignment horizontal="left" vertical="top" wrapText="1" readingOrder="1"/>
      <protection locked="0"/>
    </xf>
    <xf numFmtId="0" fontId="4" fillId="0" borderId="75"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6" fillId="0" borderId="5" xfId="0" applyNumberFormat="1" applyFont="1" applyFill="1" applyBorder="1" applyAlignment="1" applyProtection="1">
      <alignment horizontal="center" vertical="top" wrapText="1" shrinkToFit="1"/>
      <protection locked="0"/>
    </xf>
    <xf numFmtId="0" fontId="6" fillId="0" borderId="88" xfId="0" applyNumberFormat="1" applyFont="1" applyFill="1" applyBorder="1" applyAlignment="1" applyProtection="1">
      <alignment horizontal="center" vertical="top" wrapText="1"/>
    </xf>
    <xf numFmtId="14" fontId="4" fillId="0" borderId="75"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top" wrapText="1" shrinkToFit="1"/>
      <protection locked="0"/>
    </xf>
    <xf numFmtId="0" fontId="4" fillId="0" borderId="88" xfId="0" applyFont="1" applyFill="1" applyBorder="1" applyAlignment="1" applyProtection="1">
      <alignment horizontal="center" vertical="top" wrapText="1" readingOrder="1"/>
      <protection locked="0"/>
    </xf>
    <xf numFmtId="0" fontId="4" fillId="0" borderId="69" xfId="0" applyFont="1" applyFill="1" applyBorder="1" applyAlignment="1" applyProtection="1">
      <alignment horizontal="center" vertical="top" wrapText="1" readingOrder="1"/>
      <protection locked="0"/>
    </xf>
    <xf numFmtId="0" fontId="4" fillId="0" borderId="75" xfId="0" applyNumberFormat="1" applyFont="1" applyFill="1" applyBorder="1" applyAlignment="1" applyProtection="1">
      <alignment horizontal="center" vertical="top" wrapText="1" shrinkToFit="1"/>
      <protection locked="0"/>
    </xf>
    <xf numFmtId="0" fontId="3" fillId="0" borderId="102" xfId="0" applyNumberFormat="1" applyFont="1" applyFill="1" applyBorder="1" applyAlignment="1" applyProtection="1">
      <alignment horizontal="center" vertical="top" wrapText="1" shrinkToFit="1"/>
      <protection locked="0"/>
    </xf>
    <xf numFmtId="0" fontId="3" fillId="0" borderId="77" xfId="0" applyNumberFormat="1" applyFont="1" applyFill="1" applyBorder="1" applyAlignment="1" applyProtection="1">
      <alignment horizontal="center" vertical="top" wrapText="1" shrinkToFit="1"/>
      <protection locked="0"/>
    </xf>
    <xf numFmtId="0" fontId="3" fillId="0" borderId="103" xfId="0" applyNumberFormat="1" applyFont="1" applyFill="1" applyBorder="1" applyAlignment="1" applyProtection="1">
      <alignment horizontal="center" vertical="top" wrapText="1" shrinkToFit="1"/>
      <protection locked="0"/>
    </xf>
    <xf numFmtId="0" fontId="4" fillId="0" borderId="88" xfId="0" applyNumberFormat="1" applyFont="1" applyFill="1" applyBorder="1" applyAlignment="1" applyProtection="1">
      <alignment horizontal="center" vertical="top" wrapText="1" shrinkToFit="1"/>
      <protection locked="0"/>
    </xf>
    <xf numFmtId="14" fontId="4" fillId="0" borderId="88" xfId="0" applyNumberFormat="1" applyFont="1" applyFill="1" applyBorder="1" applyAlignment="1" applyProtection="1">
      <alignment horizontal="center" vertical="top" wrapText="1" shrinkToFit="1"/>
      <protection locked="0"/>
    </xf>
    <xf numFmtId="49" fontId="4" fillId="0" borderId="92" xfId="0" applyNumberFormat="1" applyFont="1" applyFill="1" applyBorder="1" applyAlignment="1" applyProtection="1">
      <alignment horizontal="center" vertical="top" wrapText="1" readingOrder="1"/>
      <protection locked="0"/>
    </xf>
    <xf numFmtId="49" fontId="4" fillId="0" borderId="94" xfId="0" applyNumberFormat="1" applyFont="1" applyFill="1" applyBorder="1" applyAlignment="1" applyProtection="1">
      <alignment horizontal="center" vertical="top" wrapText="1" readingOrder="1"/>
      <protection locked="0"/>
    </xf>
    <xf numFmtId="0" fontId="4" fillId="0" borderId="92" xfId="0" applyFont="1" applyFill="1" applyBorder="1" applyAlignment="1" applyProtection="1">
      <alignment horizontal="center" vertical="top" wrapText="1" readingOrder="1"/>
      <protection locked="0"/>
    </xf>
    <xf numFmtId="0" fontId="4" fillId="0" borderId="62"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49" fontId="7" fillId="0" borderId="5" xfId="0" applyNumberFormat="1" applyFont="1" applyFill="1" applyBorder="1" applyAlignment="1" applyProtection="1">
      <alignment horizontal="center" vertical="top" wrapText="1" readingOrder="1"/>
      <protection locked="0"/>
    </xf>
    <xf numFmtId="0" fontId="4" fillId="0" borderId="62" xfId="0" applyFont="1" applyFill="1" applyBorder="1" applyAlignment="1" applyProtection="1">
      <alignment horizontal="left" vertical="top" wrapText="1" readingOrder="1"/>
      <protection locked="0"/>
    </xf>
    <xf numFmtId="49" fontId="4" fillId="0" borderId="62" xfId="0" applyNumberFormat="1"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left" vertical="top" wrapText="1" readingOrder="1"/>
      <protection locked="0"/>
    </xf>
    <xf numFmtId="0" fontId="4" fillId="0" borderId="92" xfId="0" applyFont="1" applyFill="1" applyBorder="1" applyAlignment="1">
      <alignment horizontal="center" vertical="top" wrapText="1"/>
    </xf>
    <xf numFmtId="0" fontId="4" fillId="0" borderId="94" xfId="0" applyFont="1" applyFill="1" applyBorder="1" applyAlignment="1">
      <alignment horizontal="center" vertical="top" wrapText="1"/>
    </xf>
    <xf numFmtId="0" fontId="4" fillId="0" borderId="7" xfId="0" applyFont="1" applyFill="1" applyBorder="1" applyAlignment="1" applyProtection="1">
      <alignment horizontal="center" vertical="top" wrapText="1" readingOrder="1"/>
      <protection locked="0"/>
    </xf>
    <xf numFmtId="14" fontId="3" fillId="0" borderId="77"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6" fillId="0" borderId="77" xfId="0" applyNumberFormat="1" applyFont="1" applyFill="1" applyBorder="1" applyAlignment="1" applyProtection="1">
      <alignment horizontal="center" vertical="top" wrapText="1" shrinkToFit="1" readingOrder="1"/>
      <protection locked="0"/>
    </xf>
    <xf numFmtId="0" fontId="3" fillId="0" borderId="1" xfId="0" applyNumberFormat="1" applyFont="1" applyFill="1" applyBorder="1" applyAlignment="1" applyProtection="1">
      <alignment horizontal="center" vertical="top" wrapText="1" shrinkToFit="1"/>
      <protection locked="0"/>
    </xf>
    <xf numFmtId="0" fontId="6" fillId="0" borderId="107" xfId="0" applyNumberFormat="1" applyFont="1" applyFill="1" applyBorder="1" applyAlignment="1" applyProtection="1">
      <alignment horizontal="center" vertical="top" wrapText="1"/>
    </xf>
    <xf numFmtId="0" fontId="6" fillId="0" borderId="62" xfId="0" applyNumberFormat="1" applyFont="1" applyFill="1" applyBorder="1" applyAlignment="1" applyProtection="1">
      <alignment horizontal="center" vertical="top" wrapText="1"/>
    </xf>
    <xf numFmtId="0" fontId="3" fillId="0" borderId="63" xfId="0" applyNumberFormat="1" applyFont="1" applyFill="1" applyBorder="1" applyAlignment="1" applyProtection="1">
      <alignment horizontal="center" vertical="top" wrapText="1" shrinkToFit="1"/>
      <protection locked="0"/>
    </xf>
    <xf numFmtId="0" fontId="3" fillId="0" borderId="97"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0" fontId="3" fillId="0" borderId="16" xfId="0" applyNumberFormat="1" applyFont="1" applyFill="1" applyBorder="1" applyAlignment="1" applyProtection="1">
      <alignment horizontal="center" vertical="top" wrapText="1" shrinkToFit="1"/>
      <protection locked="0"/>
    </xf>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center"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14" fontId="4" fillId="0" borderId="5" xfId="0" applyNumberFormat="1" applyFont="1" applyFill="1" applyBorder="1" applyAlignment="1" applyProtection="1">
      <alignment horizontal="center" vertical="top" wrapText="1" shrinkToFit="1"/>
      <protection locked="0"/>
    </xf>
    <xf numFmtId="0" fontId="3" fillId="0" borderId="77" xfId="0" applyNumberFormat="1" applyFont="1" applyFill="1" applyBorder="1" applyAlignment="1" applyProtection="1">
      <alignment horizontal="center" vertical="top" wrapText="1" shrinkToFit="1" readingOrder="1"/>
      <protection locked="0"/>
    </xf>
    <xf numFmtId="0" fontId="3" fillId="0" borderId="117"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center" vertical="top" wrapText="1" shrinkToFit="1"/>
      <protection locked="0"/>
    </xf>
    <xf numFmtId="0" fontId="4" fillId="0" borderId="3" xfId="0"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75" xfId="0" applyFont="1" applyFill="1" applyBorder="1" applyAlignment="1" applyProtection="1">
      <alignment horizontal="left" vertical="top" wrapText="1" readingOrder="1"/>
      <protection locked="0"/>
    </xf>
    <xf numFmtId="0" fontId="7" fillId="0" borderId="1" xfId="0" applyFont="1" applyFill="1" applyBorder="1" applyAlignment="1" applyProtection="1">
      <alignment horizontal="left" vertical="top" wrapText="1" readingOrder="1"/>
      <protection locked="0"/>
    </xf>
    <xf numFmtId="0" fontId="6" fillId="0" borderId="1"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4" fillId="0" borderId="16"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shrinkToFit="1"/>
      <protection locked="0"/>
    </xf>
    <xf numFmtId="0" fontId="4" fillId="0" borderId="90" xfId="0" applyNumberFormat="1"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left" vertical="top" wrapText="1" readingOrder="1"/>
      <protection locked="0"/>
    </xf>
    <xf numFmtId="0" fontId="7" fillId="0" borderId="94" xfId="0" applyFont="1" applyFill="1" applyBorder="1" applyAlignment="1" applyProtection="1">
      <alignment horizontal="center"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77" xfId="0" applyFont="1" applyFill="1" applyBorder="1" applyAlignment="1" applyProtection="1">
      <alignment horizontal="center" vertical="top" wrapText="1" readingOrder="1"/>
      <protection locked="0"/>
    </xf>
    <xf numFmtId="0" fontId="6" fillId="0" borderId="2" xfId="0" applyNumberFormat="1" applyFont="1" applyFill="1" applyBorder="1" applyAlignment="1" applyProtection="1">
      <alignment horizontal="center" vertical="top" wrapText="1"/>
    </xf>
    <xf numFmtId="0" fontId="4" fillId="0" borderId="63" xfId="0" applyFont="1" applyFill="1" applyBorder="1" applyAlignment="1" applyProtection="1">
      <alignment horizontal="center" vertical="top" wrapText="1" readingOrder="1"/>
      <protection locked="0"/>
    </xf>
    <xf numFmtId="0" fontId="3" fillId="0" borderId="57"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xf>
    <xf numFmtId="0" fontId="4" fillId="0" borderId="88" xfId="0" applyFont="1" applyFill="1" applyBorder="1" applyAlignment="1">
      <alignment horizontal="center" vertical="top" wrapText="1"/>
    </xf>
    <xf numFmtId="0" fontId="4" fillId="0" borderId="94" xfId="0" applyFont="1" applyFill="1" applyBorder="1" applyAlignment="1" applyProtection="1">
      <alignment horizontal="center" vertical="top" wrapText="1" readingOrder="1"/>
      <protection locked="0"/>
    </xf>
    <xf numFmtId="0" fontId="4" fillId="0" borderId="90" xfId="0"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xf>
    <xf numFmtId="0" fontId="4" fillId="0" borderId="94" xfId="0" applyFont="1" applyFill="1" applyBorder="1" applyAlignment="1" applyProtection="1">
      <alignment horizontal="left" vertical="top" wrapText="1" readingOrder="1"/>
      <protection locked="0"/>
    </xf>
    <xf numFmtId="0" fontId="6" fillId="0" borderId="75" xfId="0" applyNumberFormat="1" applyFont="1" applyFill="1" applyBorder="1" applyAlignment="1" applyProtection="1">
      <alignment horizontal="center" vertical="top" wrapText="1"/>
    </xf>
    <xf numFmtId="0" fontId="7" fillId="0" borderId="11"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2" xfId="0" applyFont="1" applyFill="1" applyBorder="1" applyAlignment="1" applyProtection="1">
      <alignment horizontal="left"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left" vertical="top" wrapText="1" readingOrder="1"/>
      <protection locked="0"/>
    </xf>
    <xf numFmtId="0" fontId="7" fillId="0" borderId="7" xfId="0" applyFont="1" applyFill="1" applyBorder="1" applyAlignment="1" applyProtection="1">
      <alignment horizontal="left" vertical="top" wrapText="1" readingOrder="1"/>
      <protection locked="0"/>
    </xf>
    <xf numFmtId="0" fontId="6" fillId="0" borderId="7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4" fillId="0" borderId="76" xfId="0"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horizontal="center" vertical="top" wrapText="1" shrinkToFit="1"/>
      <protection locked="0"/>
    </xf>
    <xf numFmtId="0" fontId="3" fillId="0" borderId="32" xfId="0" applyNumberFormat="1" applyFont="1" applyFill="1" applyBorder="1" applyAlignment="1" applyProtection="1">
      <alignment horizontal="center" vertical="top" wrapText="1" shrinkToFit="1"/>
      <protection locked="0"/>
    </xf>
    <xf numFmtId="0" fontId="3" fillId="0" borderId="9"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left" vertical="top" wrapText="1" readingOrder="1"/>
      <protection locked="0"/>
    </xf>
    <xf numFmtId="0" fontId="4" fillId="0" borderId="27" xfId="0" applyFont="1" applyFill="1" applyBorder="1" applyAlignment="1" applyProtection="1">
      <alignment horizontal="center" vertical="top" wrapText="1" readingOrder="1"/>
      <protection locked="0"/>
    </xf>
    <xf numFmtId="49" fontId="4" fillId="0" borderId="28" xfId="0" applyNumberFormat="1" applyFont="1" applyFill="1" applyBorder="1" applyAlignment="1" applyProtection="1">
      <alignment horizontal="center" vertical="top" wrapText="1" readingOrder="1"/>
      <protection locked="0"/>
    </xf>
    <xf numFmtId="49" fontId="4" fillId="0" borderId="49" xfId="0" applyNumberFormat="1" applyFont="1" applyFill="1" applyBorder="1" applyAlignment="1" applyProtection="1">
      <alignment horizontal="center" vertical="top" wrapText="1" readingOrder="1"/>
      <protection locked="0"/>
    </xf>
    <xf numFmtId="0" fontId="7" fillId="0" borderId="77" xfId="0" applyFont="1" applyFill="1" applyBorder="1" applyAlignment="1" applyProtection="1">
      <alignment horizontal="center" vertical="top" wrapText="1" readingOrder="1"/>
      <protection locked="0"/>
    </xf>
    <xf numFmtId="0" fontId="4" fillId="0" borderId="90" xfId="0" applyFont="1" applyFill="1" applyBorder="1" applyAlignment="1" applyProtection="1">
      <alignment vertical="top" wrapText="1" readingOrder="1"/>
      <protection locked="0"/>
    </xf>
    <xf numFmtId="0" fontId="4" fillId="0" borderId="94" xfId="0" applyFont="1" applyFill="1" applyBorder="1" applyAlignment="1" applyProtection="1">
      <alignment vertical="top" wrapText="1" readingOrder="1"/>
      <protection locked="0"/>
    </xf>
    <xf numFmtId="49" fontId="4" fillId="0" borderId="90" xfId="0" applyNumberFormat="1" applyFont="1" applyFill="1" applyBorder="1" applyAlignment="1" applyProtection="1">
      <alignment horizontal="center" vertical="top" wrapText="1" readingOrder="1"/>
      <protection locked="0"/>
    </xf>
    <xf numFmtId="0" fontId="7" fillId="0" borderId="9" xfId="0" applyFont="1" applyFill="1" applyBorder="1" applyAlignment="1" applyProtection="1">
      <alignment horizontal="left" vertical="top" wrapText="1" readingOrder="1"/>
      <protection locked="0"/>
    </xf>
    <xf numFmtId="0" fontId="0" fillId="0" borderId="88" xfId="0" applyFill="1" applyBorder="1"/>
    <xf numFmtId="0" fontId="6" fillId="0" borderId="117" xfId="0" applyNumberFormat="1" applyFont="1" applyFill="1" applyBorder="1" applyAlignment="1" applyProtection="1">
      <alignment horizontal="center" vertical="top" wrapText="1"/>
    </xf>
    <xf numFmtId="166" fontId="4" fillId="0" borderId="117" xfId="0" applyNumberFormat="1" applyFont="1" applyFill="1" applyBorder="1" applyAlignment="1" applyProtection="1">
      <alignment vertical="top" wrapText="1" readingOrder="1"/>
      <protection locked="0"/>
    </xf>
    <xf numFmtId="0" fontId="7" fillId="0" borderId="62" xfId="0" applyFont="1" applyFill="1" applyBorder="1" applyAlignment="1" applyProtection="1">
      <alignment vertical="top" wrapText="1" readingOrder="1"/>
      <protection locked="0"/>
    </xf>
    <xf numFmtId="0" fontId="10" fillId="0" borderId="62" xfId="0" applyNumberFormat="1" applyFont="1" applyFill="1" applyBorder="1" applyAlignment="1" applyProtection="1">
      <alignment horizontal="center" vertical="top" wrapText="1"/>
    </xf>
    <xf numFmtId="0" fontId="6" fillId="0" borderId="94" xfId="0" applyNumberFormat="1" applyFont="1" applyFill="1" applyBorder="1" applyAlignment="1" applyProtection="1">
      <alignment horizontal="center" vertical="top" wrapText="1"/>
    </xf>
    <xf numFmtId="0" fontId="4" fillId="0" borderId="75"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6" fillId="0" borderId="107" xfId="0" applyNumberFormat="1" applyFont="1" applyFill="1" applyBorder="1" applyAlignment="1" applyProtection="1">
      <alignment horizontal="center" vertical="top" wrapText="1" shrinkToFit="1"/>
      <protection locked="0"/>
    </xf>
    <xf numFmtId="0" fontId="6" fillId="0" borderId="94" xfId="0" applyNumberFormat="1" applyFont="1" applyFill="1" applyBorder="1" applyAlignment="1" applyProtection="1">
      <alignment horizontal="center" vertical="top" wrapText="1" shrinkToFit="1"/>
      <protection locked="0"/>
    </xf>
    <xf numFmtId="0" fontId="6" fillId="0" borderId="5" xfId="0" applyNumberFormat="1" applyFont="1" applyFill="1" applyBorder="1" applyAlignment="1" applyProtection="1">
      <alignment horizontal="center" vertical="top" wrapText="1" shrinkToFit="1"/>
      <protection locked="0"/>
    </xf>
    <xf numFmtId="0" fontId="6" fillId="0" borderId="88" xfId="0" applyNumberFormat="1" applyFont="1" applyFill="1" applyBorder="1" applyAlignment="1" applyProtection="1">
      <alignment horizontal="center" vertical="top" wrapText="1"/>
    </xf>
    <xf numFmtId="0" fontId="6" fillId="0" borderId="69" xfId="0" applyNumberFormat="1" applyFont="1" applyFill="1" applyBorder="1" applyAlignment="1" applyProtection="1">
      <alignment horizontal="center" vertical="top" wrapText="1"/>
    </xf>
    <xf numFmtId="14" fontId="4" fillId="0" borderId="75"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top" wrapText="1" shrinkToFit="1"/>
      <protection locked="0"/>
    </xf>
    <xf numFmtId="0" fontId="4" fillId="0" borderId="88" xfId="0" applyFont="1" applyFill="1" applyBorder="1" applyAlignment="1" applyProtection="1">
      <alignment horizontal="center" vertical="top" wrapText="1" readingOrder="1"/>
      <protection locked="0"/>
    </xf>
    <xf numFmtId="0" fontId="4" fillId="0" borderId="69" xfId="0" applyFont="1" applyFill="1" applyBorder="1" applyAlignment="1" applyProtection="1">
      <alignment horizontal="center" vertical="top" wrapText="1" readingOrder="1"/>
      <protection locked="0"/>
    </xf>
    <xf numFmtId="0" fontId="4" fillId="0" borderId="75" xfId="0" applyNumberFormat="1" applyFont="1" applyFill="1" applyBorder="1" applyAlignment="1" applyProtection="1">
      <alignment horizontal="center" vertical="top" wrapText="1" shrinkToFit="1"/>
      <protection locked="0"/>
    </xf>
    <xf numFmtId="0" fontId="3" fillId="0" borderId="102" xfId="0" applyNumberFormat="1" applyFont="1" applyFill="1" applyBorder="1" applyAlignment="1" applyProtection="1">
      <alignment horizontal="center" vertical="top" wrapText="1" shrinkToFit="1"/>
      <protection locked="0"/>
    </xf>
    <xf numFmtId="0" fontId="3" fillId="0" borderId="77" xfId="0" applyNumberFormat="1" applyFont="1" applyFill="1" applyBorder="1" applyAlignment="1" applyProtection="1">
      <alignment horizontal="center" vertical="top" wrapText="1" shrinkToFit="1"/>
      <protection locked="0"/>
    </xf>
    <xf numFmtId="0" fontId="3" fillId="0" borderId="103" xfId="0" applyNumberFormat="1" applyFont="1" applyFill="1" applyBorder="1" applyAlignment="1" applyProtection="1">
      <alignment horizontal="center" vertical="top" wrapText="1" shrinkToFit="1"/>
      <protection locked="0"/>
    </xf>
    <xf numFmtId="0" fontId="4" fillId="0" borderId="88" xfId="0" applyNumberFormat="1" applyFont="1" applyFill="1" applyBorder="1" applyAlignment="1" applyProtection="1">
      <alignment horizontal="center" vertical="top" wrapText="1" shrinkToFit="1"/>
      <protection locked="0"/>
    </xf>
    <xf numFmtId="14" fontId="4" fillId="0" borderId="88" xfId="0" applyNumberFormat="1" applyFont="1" applyFill="1" applyBorder="1" applyAlignment="1" applyProtection="1">
      <alignment horizontal="center" vertical="top" wrapText="1" shrinkToFit="1"/>
      <protection locked="0"/>
    </xf>
    <xf numFmtId="0" fontId="4" fillId="0" borderId="88"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top" wrapText="1" shrinkToFit="1"/>
      <protection locked="0"/>
    </xf>
    <xf numFmtId="0" fontId="4" fillId="0" borderId="88" xfId="0" applyFont="1" applyFill="1" applyBorder="1" applyAlignment="1" applyProtection="1">
      <alignment horizontal="center" vertical="center" wrapText="1" readingOrder="1"/>
      <protection locked="0"/>
    </xf>
    <xf numFmtId="166" fontId="4" fillId="0" borderId="92" xfId="0" applyNumberFormat="1" applyFont="1" applyFill="1" applyBorder="1" applyAlignment="1" applyProtection="1">
      <alignment horizontal="right" vertical="top" wrapText="1" readingOrder="1"/>
      <protection locked="0"/>
    </xf>
    <xf numFmtId="166" fontId="4" fillId="0" borderId="94" xfId="0" applyNumberFormat="1" applyFont="1" applyFill="1" applyBorder="1" applyAlignment="1" applyProtection="1">
      <alignment horizontal="right" vertical="top" wrapText="1" readingOrder="1"/>
      <protection locked="0"/>
    </xf>
    <xf numFmtId="49" fontId="4" fillId="0" borderId="92" xfId="0" applyNumberFormat="1" applyFont="1" applyFill="1" applyBorder="1" applyAlignment="1" applyProtection="1">
      <alignment horizontal="center" vertical="top" wrapText="1" readingOrder="1"/>
      <protection locked="0"/>
    </xf>
    <xf numFmtId="49" fontId="4" fillId="0" borderId="94" xfId="0" applyNumberFormat="1" applyFont="1" applyFill="1" applyBorder="1" applyAlignment="1" applyProtection="1">
      <alignment horizontal="center" vertical="top" wrapText="1" readingOrder="1"/>
      <protection locked="0"/>
    </xf>
    <xf numFmtId="164" fontId="4" fillId="0" borderId="92" xfId="0" applyNumberFormat="1" applyFont="1" applyFill="1" applyBorder="1" applyAlignment="1" applyProtection="1">
      <alignment horizontal="right" vertical="top" wrapText="1" readingOrder="1"/>
      <protection locked="0"/>
    </xf>
    <xf numFmtId="164" fontId="4" fillId="0" borderId="94" xfId="0" applyNumberFormat="1" applyFont="1" applyFill="1" applyBorder="1" applyAlignment="1" applyProtection="1">
      <alignment horizontal="right" vertical="top" wrapText="1" readingOrder="1"/>
      <protection locked="0"/>
    </xf>
    <xf numFmtId="0" fontId="4" fillId="0" borderId="92" xfId="0" applyFont="1" applyFill="1" applyBorder="1" applyAlignment="1" applyProtection="1">
      <alignment horizontal="center" vertical="top" wrapText="1" readingOrder="1"/>
      <protection locked="0"/>
    </xf>
    <xf numFmtId="0" fontId="4" fillId="0" borderId="62" xfId="0" applyFont="1" applyFill="1" applyBorder="1" applyAlignment="1" applyProtection="1">
      <alignment horizontal="center" vertical="top" wrapText="1" readingOrder="1"/>
      <protection locked="0"/>
    </xf>
    <xf numFmtId="0" fontId="4" fillId="0" borderId="98" xfId="0" applyFont="1" applyFill="1" applyBorder="1" applyAlignment="1" applyProtection="1">
      <alignment horizontal="center" vertical="top" wrapText="1" readingOrder="1"/>
      <protection locked="0"/>
    </xf>
    <xf numFmtId="0" fontId="4"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166" fontId="4" fillId="0" borderId="98" xfId="0" applyNumberFormat="1" applyFont="1" applyFill="1" applyBorder="1" applyAlignment="1" applyProtection="1">
      <alignment horizontal="right" vertical="top" wrapText="1" readingOrder="1"/>
      <protection locked="0"/>
    </xf>
    <xf numFmtId="49" fontId="4" fillId="0" borderId="98" xfId="0" applyNumberFormat="1" applyFont="1" applyFill="1" applyBorder="1" applyAlignment="1" applyProtection="1">
      <alignment horizontal="center" vertical="top" wrapText="1" readingOrder="1"/>
      <protection locked="0"/>
    </xf>
    <xf numFmtId="164" fontId="4" fillId="0" borderId="98" xfId="0" applyNumberFormat="1" applyFont="1" applyFill="1" applyBorder="1" applyAlignment="1" applyProtection="1">
      <alignment horizontal="right" vertical="top" wrapText="1" readingOrder="1"/>
      <protection locked="0"/>
    </xf>
    <xf numFmtId="164" fontId="4" fillId="0" borderId="62" xfId="0" applyNumberFormat="1" applyFont="1" applyFill="1" applyBorder="1" applyAlignment="1" applyProtection="1">
      <alignment horizontal="right" vertical="top" wrapText="1" readingOrder="1"/>
      <protection locked="0"/>
    </xf>
    <xf numFmtId="166" fontId="4" fillId="0" borderId="62" xfId="0" applyNumberFormat="1" applyFont="1" applyFill="1" applyBorder="1" applyAlignment="1" applyProtection="1">
      <alignment horizontal="right" vertical="top" wrapText="1" readingOrder="1"/>
      <protection locked="0"/>
    </xf>
    <xf numFmtId="49" fontId="7" fillId="0" borderId="5" xfId="0" applyNumberFormat="1" applyFont="1" applyFill="1" applyBorder="1" applyAlignment="1" applyProtection="1">
      <alignment horizontal="center" vertical="top" wrapText="1" readingOrder="1"/>
      <protection locked="0"/>
    </xf>
    <xf numFmtId="0" fontId="4" fillId="0" borderId="92" xfId="0" applyFont="1" applyFill="1" applyBorder="1" applyAlignment="1" applyProtection="1">
      <alignment horizontal="left" vertical="top" wrapText="1" readingOrder="1"/>
      <protection locked="0"/>
    </xf>
    <xf numFmtId="0" fontId="4" fillId="0" borderId="62" xfId="0" applyFont="1" applyFill="1" applyBorder="1" applyAlignment="1" applyProtection="1">
      <alignment horizontal="left" vertical="top" wrapText="1" readingOrder="1"/>
      <protection locked="0"/>
    </xf>
    <xf numFmtId="49" fontId="4" fillId="0" borderId="62" xfId="0" applyNumberFormat="1"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left" vertical="top" wrapText="1" readingOrder="1"/>
      <protection locked="0"/>
    </xf>
    <xf numFmtId="0" fontId="4" fillId="0" borderId="4" xfId="0" applyFont="1" applyFill="1" applyBorder="1" applyAlignment="1" applyProtection="1">
      <alignment horizontal="left" vertical="top" wrapText="1" readingOrder="1"/>
      <protection locked="0"/>
    </xf>
    <xf numFmtId="0" fontId="4" fillId="0" borderId="92" xfId="0" applyFont="1" applyFill="1" applyBorder="1" applyAlignment="1">
      <alignment horizontal="center" vertical="top" wrapText="1"/>
    </xf>
    <xf numFmtId="0" fontId="4" fillId="0" borderId="94" xfId="0" applyFont="1" applyFill="1" applyBorder="1" applyAlignment="1">
      <alignment horizontal="center" vertical="top" wrapText="1"/>
    </xf>
    <xf numFmtId="0" fontId="3" fillId="0" borderId="11"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3" fillId="0" borderId="7" xfId="0" applyNumberFormat="1" applyFont="1" applyFill="1" applyBorder="1" applyAlignment="1" applyProtection="1">
      <alignment horizontal="center" vertical="top" wrapText="1" shrinkToFit="1"/>
      <protection locked="0"/>
    </xf>
    <xf numFmtId="0" fontId="3" fillId="0" borderId="99"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0" fontId="3" fillId="0" borderId="6"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3" fillId="0" borderId="23" xfId="0" applyNumberFormat="1" applyFont="1" applyFill="1" applyBorder="1" applyAlignment="1" applyProtection="1">
      <alignment horizontal="center" vertical="top" wrapText="1" shrinkToFit="1"/>
      <protection locked="0"/>
    </xf>
    <xf numFmtId="0" fontId="6" fillId="0" borderId="77" xfId="0" applyNumberFormat="1" applyFont="1" applyFill="1" applyBorder="1" applyAlignment="1" applyProtection="1">
      <alignment horizontal="center" vertical="top" wrapText="1" shrinkToFit="1" readingOrder="1"/>
      <protection locked="0"/>
    </xf>
    <xf numFmtId="0" fontId="6" fillId="0" borderId="111" xfId="0" applyNumberFormat="1" applyFont="1" applyFill="1" applyBorder="1" applyAlignment="1" applyProtection="1">
      <alignment horizontal="center" vertical="top" wrapText="1" shrinkToFit="1" readingOrder="1"/>
      <protection locked="0"/>
    </xf>
    <xf numFmtId="14" fontId="3" fillId="0" borderId="77"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14" fontId="3" fillId="0" borderId="7" xfId="0" applyNumberFormat="1" applyFont="1" applyFill="1" applyBorder="1" applyAlignment="1" applyProtection="1">
      <alignment horizontal="center" vertical="top" wrapText="1" shrinkToFit="1"/>
      <protection locked="0"/>
    </xf>
    <xf numFmtId="0" fontId="3" fillId="0" borderId="1" xfId="0" applyNumberFormat="1" applyFont="1" applyFill="1" applyBorder="1" applyAlignment="1" applyProtection="1">
      <alignment horizontal="center" vertical="top" wrapText="1" shrinkToFit="1"/>
      <protection locked="0"/>
    </xf>
    <xf numFmtId="0" fontId="6" fillId="0" borderId="107" xfId="0" applyNumberFormat="1" applyFont="1" applyFill="1" applyBorder="1" applyAlignment="1" applyProtection="1">
      <alignment horizontal="center" vertical="top" wrapText="1"/>
    </xf>
    <xf numFmtId="0" fontId="6" fillId="0" borderId="62" xfId="0" applyNumberFormat="1" applyFont="1" applyFill="1" applyBorder="1" applyAlignment="1" applyProtection="1">
      <alignment horizontal="center" vertical="top" wrapText="1"/>
    </xf>
    <xf numFmtId="0" fontId="3" fillId="0" borderId="63" xfId="0" applyNumberFormat="1" applyFont="1" applyFill="1" applyBorder="1" applyAlignment="1" applyProtection="1">
      <alignment horizontal="center" vertical="top" wrapText="1" shrinkToFit="1"/>
      <protection locked="0"/>
    </xf>
    <xf numFmtId="0" fontId="3" fillId="0" borderId="97" xfId="0" applyNumberFormat="1" applyFont="1" applyFill="1" applyBorder="1" applyAlignment="1" applyProtection="1">
      <alignment horizontal="center" vertical="top" wrapText="1" shrinkToFit="1"/>
      <protection locked="0"/>
    </xf>
    <xf numFmtId="14" fontId="3" fillId="0" borderId="23" xfId="0" applyNumberFormat="1" applyFont="1" applyFill="1" applyBorder="1" applyAlignment="1" applyProtection="1">
      <alignment horizontal="center" vertical="top" wrapText="1" shrinkToFit="1"/>
      <protection locked="0"/>
    </xf>
    <xf numFmtId="14" fontId="3" fillId="0" borderId="34"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164" fontId="4" fillId="0" borderId="14" xfId="0" applyNumberFormat="1" applyFont="1" applyFill="1" applyBorder="1" applyAlignment="1" applyProtection="1">
      <alignment horizontal="right" vertical="center" wrapText="1" readingOrder="1"/>
      <protection locked="0"/>
    </xf>
    <xf numFmtId="164" fontId="4" fillId="0" borderId="1" xfId="0" applyNumberFormat="1" applyFont="1" applyFill="1" applyBorder="1" applyAlignment="1" applyProtection="1">
      <alignment horizontal="right" vertical="center" wrapText="1" readingOrder="1"/>
      <protection locked="0"/>
    </xf>
    <xf numFmtId="0" fontId="3" fillId="0" borderId="16" xfId="0" applyNumberFormat="1" applyFont="1" applyFill="1" applyBorder="1" applyAlignment="1" applyProtection="1">
      <alignment horizontal="center" vertical="top" wrapText="1" shrinkToFit="1"/>
      <protection locked="0"/>
    </xf>
    <xf numFmtId="164" fontId="7" fillId="0" borderId="12" xfId="0" applyNumberFormat="1" applyFont="1" applyFill="1" applyBorder="1" applyAlignment="1" applyProtection="1">
      <alignment horizontal="right" vertical="top" wrapText="1" readingOrder="1"/>
      <protection locked="0"/>
    </xf>
    <xf numFmtId="164" fontId="7" fillId="0" borderId="79" xfId="0" applyNumberFormat="1" applyFont="1" applyFill="1" applyBorder="1" applyAlignment="1" applyProtection="1">
      <alignment horizontal="right" vertical="top" wrapText="1" readingOrder="1"/>
      <protection locked="0"/>
    </xf>
    <xf numFmtId="0" fontId="4" fillId="0" borderId="7" xfId="0" applyFont="1" applyFill="1" applyBorder="1" applyAlignment="1" applyProtection="1">
      <alignment horizontal="center" vertical="top" wrapText="1" readingOrder="1"/>
      <protection locked="0"/>
    </xf>
    <xf numFmtId="164" fontId="7" fillId="0" borderId="11" xfId="0" applyNumberFormat="1" applyFont="1" applyFill="1" applyBorder="1" applyAlignment="1" applyProtection="1">
      <alignment horizontal="right" vertical="top" wrapText="1" readingOrder="1"/>
      <protection locked="0"/>
    </xf>
    <xf numFmtId="164" fontId="7" fillId="0" borderId="63" xfId="0" applyNumberFormat="1" applyFont="1" applyFill="1" applyBorder="1" applyAlignment="1" applyProtection="1">
      <alignment horizontal="right" vertical="top" wrapText="1" readingOrder="1"/>
      <protection locked="0"/>
    </xf>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4" fontId="4" fillId="0" borderId="70" xfId="0" applyNumberFormat="1" applyFont="1" applyFill="1" applyBorder="1" applyAlignment="1" applyProtection="1">
      <alignment horizontal="right" vertical="center" wrapText="1" readingOrder="1"/>
      <protection locked="0"/>
    </xf>
    <xf numFmtId="4" fontId="4" fillId="0" borderId="75" xfId="0" applyNumberFormat="1" applyFont="1" applyFill="1" applyBorder="1" applyAlignment="1" applyProtection="1">
      <alignment horizontal="right" vertical="center" wrapText="1" readingOrder="1"/>
      <protection locked="0"/>
    </xf>
    <xf numFmtId="4" fontId="4" fillId="0" borderId="14" xfId="0" applyNumberFormat="1" applyFont="1" applyFill="1" applyBorder="1" applyAlignment="1" applyProtection="1">
      <alignment horizontal="right" vertical="center" wrapText="1" readingOrder="1"/>
      <protection locked="0"/>
    </xf>
    <xf numFmtId="4" fontId="4" fillId="0" borderId="1" xfId="0" applyNumberFormat="1" applyFont="1" applyFill="1" applyBorder="1" applyAlignment="1" applyProtection="1">
      <alignment horizontal="right" vertical="center" wrapText="1" readingOrder="1"/>
      <protection locked="0"/>
    </xf>
    <xf numFmtId="49" fontId="4" fillId="0" borderId="20" xfId="0" applyNumberFormat="1" applyFont="1" applyFill="1" applyBorder="1" applyAlignment="1" applyProtection="1">
      <alignment horizontal="center" vertical="center" wrapText="1" readingOrder="1"/>
      <protection locked="0"/>
    </xf>
    <xf numFmtId="49" fontId="4" fillId="0" borderId="16" xfId="0" applyNumberFormat="1" applyFont="1" applyFill="1" applyBorder="1" applyAlignment="1" applyProtection="1">
      <alignment horizontal="center" vertical="center" wrapText="1" readingOrder="1"/>
      <protection locked="0"/>
    </xf>
    <xf numFmtId="49" fontId="4" fillId="0" borderId="11" xfId="0" applyNumberFormat="1" applyFont="1" applyFill="1" applyBorder="1" applyAlignment="1" applyProtection="1">
      <alignment horizontal="center" vertical="center" wrapText="1" readingOrder="1"/>
      <protection locked="0"/>
    </xf>
    <xf numFmtId="49" fontId="4" fillId="0" borderId="2" xfId="0" applyNumberFormat="1" applyFont="1" applyFill="1" applyBorder="1" applyAlignment="1" applyProtection="1">
      <alignment horizontal="center" vertical="center"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63" xfId="0" applyNumberFormat="1"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49" fontId="7" fillId="0" borderId="64" xfId="0" applyNumberFormat="1" applyFont="1" applyFill="1" applyBorder="1" applyAlignment="1" applyProtection="1">
      <alignment horizontal="center" vertical="top" wrapText="1" readingOrder="1"/>
      <protection locked="0"/>
    </xf>
    <xf numFmtId="14" fontId="4" fillId="0" borderId="12" xfId="0" applyNumberFormat="1" applyFont="1" applyFill="1" applyBorder="1" applyAlignment="1" applyProtection="1">
      <alignment horizontal="center" vertical="top" wrapText="1" readingOrder="1"/>
      <protection locked="0"/>
    </xf>
    <xf numFmtId="14" fontId="4" fillId="0" borderId="10" xfId="0" applyNumberFormat="1"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0" fontId="3" fillId="0" borderId="5"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14" fontId="4" fillId="0" borderId="5" xfId="0" applyNumberFormat="1" applyFont="1" applyFill="1" applyBorder="1" applyAlignment="1" applyProtection="1">
      <alignment horizontal="center" vertical="top" wrapText="1" shrinkToFit="1"/>
      <protection locked="0"/>
    </xf>
    <xf numFmtId="0" fontId="3" fillId="0" borderId="97" xfId="0" applyNumberFormat="1" applyFont="1" applyFill="1" applyBorder="1" applyAlignment="1" applyProtection="1">
      <alignment horizontal="center" vertical="top" wrapText="1" shrinkToFit="1" readingOrder="1"/>
      <protection locked="0"/>
    </xf>
    <xf numFmtId="0" fontId="3" fillId="0" borderId="77" xfId="0" applyNumberFormat="1" applyFont="1" applyFill="1" applyBorder="1" applyAlignment="1" applyProtection="1">
      <alignment horizontal="center" vertical="top" wrapText="1" shrinkToFit="1" readingOrder="1"/>
      <protection locked="0"/>
    </xf>
    <xf numFmtId="0" fontId="3" fillId="0" borderId="117" xfId="0" applyNumberFormat="1" applyFont="1" applyFill="1" applyBorder="1" applyAlignment="1" applyProtection="1">
      <alignment horizontal="center" vertical="top" wrapText="1" shrinkToFit="1"/>
      <protection locked="0"/>
    </xf>
    <xf numFmtId="0" fontId="16" fillId="0" borderId="0" xfId="0" applyFont="1" applyFill="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4" fillId="0" borderId="47" xfId="0" applyFont="1" applyFill="1" applyBorder="1" applyAlignment="1" applyProtection="1">
      <alignment vertical="top" wrapText="1"/>
      <protection locked="0"/>
    </xf>
    <xf numFmtId="0" fontId="4" fillId="0" borderId="41" xfId="0" applyFont="1" applyFill="1" applyBorder="1" applyAlignment="1" applyProtection="1">
      <alignment vertical="top" wrapText="1"/>
      <protection locked="0"/>
    </xf>
    <xf numFmtId="0" fontId="4" fillId="0" borderId="5" xfId="0" applyFont="1" applyFill="1" applyBorder="1" applyAlignment="1" applyProtection="1">
      <alignment horizontal="center" vertical="center" wrapText="1" readingOrder="1"/>
      <protection locked="0"/>
    </xf>
    <xf numFmtId="0" fontId="6" fillId="0" borderId="90" xfId="0" applyNumberFormat="1" applyFont="1" applyFill="1" applyBorder="1" applyAlignment="1" applyProtection="1">
      <alignment horizontal="left" vertical="top" wrapText="1"/>
    </xf>
    <xf numFmtId="0" fontId="6" fillId="0" borderId="88" xfId="0" applyNumberFormat="1" applyFont="1" applyFill="1" applyBorder="1" applyAlignment="1" applyProtection="1">
      <alignment horizontal="left" vertical="top" wrapText="1"/>
    </xf>
    <xf numFmtId="0" fontId="6" fillId="0" borderId="90" xfId="0" applyNumberFormat="1" applyFont="1" applyFill="1" applyBorder="1" applyAlignment="1" applyProtection="1">
      <alignment horizontal="center" vertical="top" wrapText="1"/>
    </xf>
    <xf numFmtId="0" fontId="4" fillId="0" borderId="6"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left" vertical="top" wrapText="1" readingOrder="1"/>
      <protection locked="0"/>
    </xf>
    <xf numFmtId="0" fontId="4" fillId="0" borderId="75" xfId="0" applyFont="1" applyFill="1" applyBorder="1" applyAlignment="1" applyProtection="1">
      <alignment horizontal="left" vertical="top" wrapText="1" readingOrder="1"/>
      <protection locked="0"/>
    </xf>
    <xf numFmtId="0" fontId="4" fillId="0" borderId="20" xfId="0" applyFont="1" applyFill="1" applyBorder="1" applyAlignment="1" applyProtection="1">
      <alignment horizontal="center" vertical="center"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27" xfId="0" applyFont="1" applyFill="1" applyBorder="1" applyAlignment="1" applyProtection="1">
      <alignment horizontal="center" vertical="center" wrapText="1" readingOrder="1"/>
      <protection locked="0"/>
    </xf>
    <xf numFmtId="0" fontId="4" fillId="0" borderId="46" xfId="0" applyFont="1" applyFill="1" applyBorder="1" applyAlignment="1" applyProtection="1">
      <alignment horizontal="center" vertical="center" wrapText="1" readingOrder="1"/>
      <protection locked="0"/>
    </xf>
    <xf numFmtId="0" fontId="7" fillId="0" borderId="6" xfId="0" applyFont="1" applyFill="1" applyBorder="1" applyAlignment="1" applyProtection="1">
      <alignment horizontal="left" vertical="top" wrapText="1" readingOrder="1"/>
      <protection locked="0"/>
    </xf>
    <xf numFmtId="0" fontId="7" fillId="0" borderId="1" xfId="0" applyFont="1" applyFill="1" applyBorder="1" applyAlignment="1" applyProtection="1">
      <alignment horizontal="left" vertical="top" wrapText="1" readingOrder="1"/>
      <protection locked="0"/>
    </xf>
    <xf numFmtId="0" fontId="4" fillId="0" borderId="76" xfId="0" applyFont="1" applyFill="1" applyBorder="1" applyAlignment="1" applyProtection="1">
      <alignment horizontal="center" vertical="center" wrapText="1" readingOrder="1"/>
      <protection locked="0"/>
    </xf>
    <xf numFmtId="0" fontId="4" fillId="0" borderId="4" xfId="0" applyFont="1" applyFill="1" applyBorder="1" applyAlignment="1" applyProtection="1">
      <alignment horizontal="center" vertical="center" wrapText="1" readingOrder="1"/>
      <protection locked="0"/>
    </xf>
    <xf numFmtId="0" fontId="6" fillId="0" borderId="1"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4" fillId="0" borderId="16"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center" vertical="center" wrapText="1" readingOrder="1"/>
      <protection locked="0"/>
    </xf>
    <xf numFmtId="0" fontId="4" fillId="0" borderId="90" xfId="0" applyNumberFormat="1"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7" fillId="0" borderId="20" xfId="0" applyFont="1" applyFill="1" applyBorder="1" applyAlignment="1" applyProtection="1">
      <alignment horizontal="left" vertical="top" wrapText="1" readingOrder="1"/>
      <protection locked="0"/>
    </xf>
    <xf numFmtId="0" fontId="7" fillId="0" borderId="16" xfId="0" applyFont="1" applyFill="1" applyBorder="1" applyAlignment="1" applyProtection="1">
      <alignment horizontal="left" vertical="top" wrapText="1" readingOrder="1"/>
      <protection locked="0"/>
    </xf>
    <xf numFmtId="0" fontId="7" fillId="0" borderId="5" xfId="0" applyFont="1" applyFill="1" applyBorder="1" applyAlignment="1" applyProtection="1">
      <alignment horizontal="left" vertical="top" wrapText="1" readingOrder="1"/>
      <protection locked="0"/>
    </xf>
    <xf numFmtId="0" fontId="7" fillId="0" borderId="107" xfId="0" applyFont="1" applyFill="1" applyBorder="1" applyAlignment="1" applyProtection="1">
      <alignment horizontal="center" vertical="top" wrapText="1" readingOrder="1"/>
      <protection locked="0"/>
    </xf>
    <xf numFmtId="0" fontId="7" fillId="0" borderId="94" xfId="0" applyFont="1" applyFill="1" applyBorder="1" applyAlignment="1" applyProtection="1">
      <alignment horizontal="center" vertical="top" wrapText="1" readingOrder="1"/>
      <protection locked="0"/>
    </xf>
    <xf numFmtId="0" fontId="7" fillId="0" borderId="34" xfId="0" applyFont="1" applyFill="1" applyBorder="1" applyAlignment="1" applyProtection="1">
      <alignment horizontal="left" vertical="top" wrapText="1" readingOrder="1"/>
      <protection locked="0"/>
    </xf>
    <xf numFmtId="0" fontId="7" fillId="0" borderId="2" xfId="0" applyFont="1" applyFill="1" applyBorder="1" applyAlignment="1" applyProtection="1">
      <alignment horizontal="left" vertical="top" wrapText="1" readingOrder="1"/>
      <protection locked="0"/>
    </xf>
    <xf numFmtId="0" fontId="7" fillId="0" borderId="77" xfId="0" applyFont="1" applyFill="1" applyBorder="1" applyAlignment="1" applyProtection="1">
      <alignment horizontal="left" vertical="top" wrapText="1" readingOrder="1"/>
      <protection locked="0"/>
    </xf>
    <xf numFmtId="0" fontId="4" fillId="0" borderId="102" xfId="0" applyFont="1" applyFill="1" applyBorder="1" applyAlignment="1" applyProtection="1">
      <alignment horizontal="center" vertical="top" wrapText="1" readingOrder="1"/>
      <protection locked="0"/>
    </xf>
    <xf numFmtId="0" fontId="4" fillId="0" borderId="77" xfId="0" applyFont="1" applyFill="1" applyBorder="1" applyAlignment="1" applyProtection="1">
      <alignment horizontal="center" vertical="top" wrapText="1" readingOrder="1"/>
      <protection locked="0"/>
    </xf>
    <xf numFmtId="0" fontId="4" fillId="0" borderId="103" xfId="0" applyFont="1" applyFill="1" applyBorder="1" applyAlignment="1" applyProtection="1">
      <alignment horizontal="center" vertical="top" wrapText="1" readingOrder="1"/>
      <protection locked="0"/>
    </xf>
    <xf numFmtId="14" fontId="4" fillId="0" borderId="88" xfId="0" applyNumberFormat="1" applyFont="1" applyFill="1" applyBorder="1" applyAlignment="1" applyProtection="1">
      <alignment horizontal="center" vertical="center" wrapText="1" shrinkToFit="1"/>
      <protection locked="0"/>
    </xf>
    <xf numFmtId="0" fontId="4" fillId="0" borderId="6"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7" xfId="0" applyNumberFormat="1" applyFont="1" applyFill="1" applyBorder="1" applyAlignment="1" applyProtection="1">
      <alignment horizontal="center" vertical="center" wrapText="1" shrinkToFit="1"/>
      <protection locked="0"/>
    </xf>
    <xf numFmtId="0" fontId="3" fillId="0" borderId="57" xfId="0" applyNumberFormat="1" applyFont="1" applyFill="1" applyBorder="1" applyAlignment="1" applyProtection="1">
      <alignment horizontal="center" vertical="top" wrapText="1" shrinkToFit="1"/>
      <protection locked="0"/>
    </xf>
    <xf numFmtId="0" fontId="4" fillId="0" borderId="63" xfId="0" applyFont="1" applyFill="1" applyBorder="1" applyAlignment="1" applyProtection="1">
      <alignment horizontal="center" vertical="top" wrapText="1" readingOrder="1"/>
      <protection locked="0"/>
    </xf>
    <xf numFmtId="0" fontId="6" fillId="0" borderId="16" xfId="0" applyNumberFormat="1"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protection locked="0"/>
    </xf>
    <xf numFmtId="0" fontId="3" fillId="0" borderId="116"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xf>
    <xf numFmtId="0" fontId="4" fillId="0" borderId="75"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88" xfId="0" applyFont="1" applyFill="1" applyBorder="1" applyAlignment="1">
      <alignment horizontal="center" vertical="top" wrapText="1"/>
    </xf>
    <xf numFmtId="0" fontId="4" fillId="0" borderId="94" xfId="0" applyFont="1" applyFill="1" applyBorder="1" applyAlignment="1" applyProtection="1">
      <alignment horizontal="center" vertical="top" wrapText="1" readingOrder="1"/>
      <protection locked="0"/>
    </xf>
    <xf numFmtId="0" fontId="4" fillId="0" borderId="90" xfId="0" applyFont="1" applyFill="1" applyBorder="1" applyAlignment="1" applyProtection="1">
      <alignment horizontal="center" vertical="top" wrapText="1" readingOrder="1"/>
      <protection locked="0"/>
    </xf>
    <xf numFmtId="0" fontId="4" fillId="0" borderId="94" xfId="0" applyFont="1" applyFill="1" applyBorder="1" applyAlignment="1" applyProtection="1">
      <alignment horizontal="left" vertical="top" wrapText="1" readingOrder="1"/>
      <protection locked="0"/>
    </xf>
    <xf numFmtId="0" fontId="6" fillId="0" borderId="75" xfId="0" applyNumberFormat="1" applyFont="1" applyFill="1" applyBorder="1" applyAlignment="1" applyProtection="1">
      <alignment horizontal="center" vertical="top" wrapText="1"/>
    </xf>
    <xf numFmtId="0" fontId="7" fillId="0" borderId="13" xfId="0" applyFont="1" applyFill="1" applyBorder="1" applyAlignment="1" applyProtection="1">
      <alignment horizontal="left" vertical="top" wrapText="1" readingOrder="1"/>
      <protection locked="0"/>
    </xf>
    <xf numFmtId="0" fontId="7" fillId="0" borderId="0" xfId="0" applyFont="1" applyFill="1" applyBorder="1" applyAlignment="1" applyProtection="1">
      <alignment horizontal="left" vertical="top" wrapText="1" readingOrder="1"/>
      <protection locked="0"/>
    </xf>
    <xf numFmtId="0" fontId="7" fillId="0" borderId="46"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7" fillId="0" borderId="11" xfId="0" applyFont="1" applyFill="1" applyBorder="1" applyAlignment="1" applyProtection="1">
      <alignment horizontal="left"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4" fillId="0" borderId="34"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left" vertical="top" wrapText="1" readingOrder="1"/>
      <protection locked="0"/>
    </xf>
    <xf numFmtId="0" fontId="7" fillId="0" borderId="7" xfId="0" applyFont="1" applyFill="1" applyBorder="1" applyAlignment="1" applyProtection="1">
      <alignment horizontal="left" vertical="top" wrapText="1" readingOrder="1"/>
      <protection locked="0"/>
    </xf>
    <xf numFmtId="0" fontId="6" fillId="0" borderId="77" xfId="0" applyNumberFormat="1"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shrinkToFit="1" readingOrder="1"/>
      <protection locked="0"/>
    </xf>
    <xf numFmtId="0" fontId="4" fillId="0" borderId="76" xfId="0"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center" vertical="top" wrapText="1" readingOrder="1"/>
      <protection locked="0"/>
    </xf>
    <xf numFmtId="0" fontId="7" fillId="0" borderId="53" xfId="0" applyFont="1" applyFill="1" applyBorder="1" applyAlignment="1" applyProtection="1">
      <alignment horizontal="left" vertical="top" wrapText="1" readingOrder="1"/>
      <protection locked="0"/>
    </xf>
    <xf numFmtId="0" fontId="7" fillId="0" borderId="4" xfId="0" applyFont="1" applyFill="1" applyBorder="1" applyAlignment="1" applyProtection="1">
      <alignment horizontal="left" vertical="top" wrapText="1" readingOrder="1"/>
      <protection locked="0"/>
    </xf>
    <xf numFmtId="0" fontId="4" fillId="0" borderId="90" xfId="0" applyFont="1" applyFill="1" applyBorder="1" applyAlignment="1" applyProtection="1">
      <alignment vertical="top" wrapText="1" readingOrder="1"/>
      <protection locked="0"/>
    </xf>
    <xf numFmtId="0" fontId="4" fillId="0" borderId="94" xfId="0" applyFont="1" applyFill="1" applyBorder="1" applyAlignment="1" applyProtection="1">
      <alignment vertical="top" wrapText="1" readingOrder="1"/>
      <protection locked="0"/>
    </xf>
    <xf numFmtId="49" fontId="4" fillId="0" borderId="90" xfId="0" applyNumberFormat="1" applyFont="1" applyFill="1" applyBorder="1" applyAlignment="1" applyProtection="1">
      <alignment horizontal="center" vertical="top" wrapText="1" readingOrder="1"/>
      <protection locked="0"/>
    </xf>
    <xf numFmtId="0" fontId="1" fillId="0" borderId="1" xfId="0" applyFont="1" applyFill="1" applyBorder="1"/>
    <xf numFmtId="0" fontId="1" fillId="0" borderId="4" xfId="0" applyFont="1" applyFill="1" applyBorder="1"/>
    <xf numFmtId="0" fontId="4" fillId="0" borderId="25" xfId="0" applyFont="1" applyFill="1" applyBorder="1" applyAlignment="1" applyProtection="1">
      <alignment horizontal="left" vertical="top" wrapText="1" readingOrder="1"/>
      <protection locked="0"/>
    </xf>
    <xf numFmtId="0" fontId="4" fillId="0" borderId="87" xfId="0" applyFont="1" applyFill="1" applyBorder="1" applyAlignment="1" applyProtection="1">
      <alignment horizontal="left" vertical="top" wrapText="1" readingOrder="1"/>
      <protection locked="0"/>
    </xf>
    <xf numFmtId="0" fontId="3" fillId="0" borderId="0" xfId="0" applyNumberFormat="1" applyFont="1" applyFill="1" applyBorder="1" applyAlignment="1" applyProtection="1">
      <alignment horizontal="center" vertical="top" wrapText="1" shrinkToFit="1"/>
      <protection locked="0"/>
    </xf>
    <xf numFmtId="0" fontId="3" fillId="0" borderId="46"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3" fillId="0" borderId="32" xfId="0" applyNumberFormat="1" applyFont="1" applyFill="1" applyBorder="1" applyAlignment="1" applyProtection="1">
      <alignment horizontal="center" vertical="top" wrapText="1" shrinkToFit="1"/>
      <protection locked="0"/>
    </xf>
    <xf numFmtId="0" fontId="3" fillId="0" borderId="9"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0" fontId="7" fillId="0" borderId="63" xfId="0" applyFont="1" applyFill="1" applyBorder="1" applyAlignment="1" applyProtection="1">
      <alignment horizontal="left" vertical="top" wrapText="1" readingOrder="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4" fillId="0" borderId="7"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4" fillId="0" borderId="27" xfId="0" applyFont="1" applyFill="1" applyBorder="1" applyAlignment="1" applyProtection="1">
      <alignment horizontal="center" vertical="top" wrapText="1" readingOrder="1"/>
      <protection locked="0"/>
    </xf>
    <xf numFmtId="49" fontId="4" fillId="0" borderId="28" xfId="0" applyNumberFormat="1" applyFont="1" applyFill="1" applyBorder="1" applyAlignment="1" applyProtection="1">
      <alignment horizontal="center" vertical="top" wrapText="1" readingOrder="1"/>
      <protection locked="0"/>
    </xf>
    <xf numFmtId="49" fontId="4" fillId="0" borderId="49" xfId="0" applyNumberFormat="1" applyFont="1" applyFill="1" applyBorder="1" applyAlignment="1" applyProtection="1">
      <alignment horizontal="center" vertical="top" wrapText="1" readingOrder="1"/>
      <protection locked="0"/>
    </xf>
    <xf numFmtId="0" fontId="7" fillId="0" borderId="77" xfId="0" applyFont="1" applyFill="1" applyBorder="1" applyAlignment="1" applyProtection="1">
      <alignment horizontal="center" vertical="top" wrapText="1" readingOrder="1"/>
      <protection locked="0"/>
    </xf>
    <xf numFmtId="0" fontId="7" fillId="0" borderId="23" xfId="0" applyFont="1" applyFill="1" applyBorder="1" applyAlignment="1" applyProtection="1">
      <alignment horizontal="center" vertical="top" wrapText="1" readingOrder="1"/>
      <protection locked="0"/>
    </xf>
    <xf numFmtId="0" fontId="7" fillId="0" borderId="23" xfId="0" applyFont="1" applyFill="1" applyBorder="1" applyAlignment="1" applyProtection="1">
      <alignment horizontal="left" vertical="top" wrapText="1" readingOrder="1"/>
      <protection locked="0"/>
    </xf>
    <xf numFmtId="0" fontId="4" fillId="0" borderId="80" xfId="0" applyFont="1" applyFill="1" applyBorder="1" applyAlignment="1" applyProtection="1">
      <alignment horizontal="left" vertical="top" wrapText="1" readingOrder="1"/>
      <protection locked="0"/>
    </xf>
    <xf numFmtId="0" fontId="4" fillId="0" borderId="68" xfId="0" applyFont="1" applyFill="1" applyBorder="1" applyAlignment="1" applyProtection="1">
      <alignment horizontal="left" vertical="top" wrapText="1" readingOrder="1"/>
      <protection locked="0"/>
    </xf>
    <xf numFmtId="0" fontId="4" fillId="0" borderId="63" xfId="0" applyFont="1" applyFill="1" applyBorder="1" applyAlignment="1" applyProtection="1">
      <alignment horizontal="left" vertical="top" wrapText="1" readingOrder="1"/>
      <protection locked="0"/>
    </xf>
    <xf numFmtId="0" fontId="4" fillId="0" borderId="105" xfId="0" applyFont="1" applyFill="1" applyBorder="1" applyAlignment="1" applyProtection="1">
      <alignment horizontal="left" vertical="top" wrapText="1" readingOrder="1"/>
      <protection locked="0"/>
    </xf>
    <xf numFmtId="0" fontId="4" fillId="0" borderId="106"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left" vertical="top" wrapText="1" readingOrder="1"/>
      <protection locked="0"/>
    </xf>
    <xf numFmtId="0" fontId="7" fillId="0" borderId="95" xfId="0" applyFont="1" applyFill="1" applyBorder="1" applyAlignment="1" applyProtection="1">
      <alignment horizontal="left" vertical="top" wrapText="1" readingOrder="1"/>
      <protection locked="0"/>
    </xf>
    <xf numFmtId="0" fontId="7" fillId="0" borderId="9" xfId="0" applyFont="1" applyFill="1" applyBorder="1" applyAlignment="1" applyProtection="1">
      <alignment horizontal="left" vertical="top" wrapText="1" readingOrder="1"/>
      <protection locked="0"/>
    </xf>
    <xf numFmtId="0" fontId="7" fillId="0" borderId="80" xfId="0" applyFont="1" applyFill="1" applyBorder="1" applyAlignment="1" applyProtection="1">
      <alignment horizontal="left" vertical="top" wrapText="1" readingOrder="1"/>
      <protection locked="0"/>
    </xf>
    <xf numFmtId="0" fontId="7" fillId="0" borderId="49" xfId="0" applyFont="1" applyFill="1" applyBorder="1" applyAlignment="1" applyProtection="1">
      <alignment horizontal="left" vertical="top" wrapText="1" readingOrder="1"/>
      <protection locked="0"/>
    </xf>
    <xf numFmtId="0" fontId="7" fillId="0" borderId="92" xfId="0" applyFont="1" applyFill="1" applyBorder="1" applyAlignment="1" applyProtection="1">
      <alignment horizontal="left" vertical="top" wrapText="1" readingOrder="1"/>
      <protection locked="0"/>
    </xf>
    <xf numFmtId="0" fontId="0" fillId="0" borderId="88" xfId="0" applyFill="1" applyBorder="1"/>
    <xf numFmtId="0" fontId="4" fillId="0" borderId="98" xfId="0" applyFont="1" applyFill="1" applyBorder="1" applyAlignment="1" applyProtection="1">
      <alignment horizontal="left" vertical="top" wrapText="1" readingOrder="1"/>
      <protection locked="0"/>
    </xf>
    <xf numFmtId="0" fontId="6" fillId="0" borderId="102" xfId="0" applyNumberFormat="1" applyFont="1" applyFill="1" applyBorder="1" applyAlignment="1" applyProtection="1">
      <alignment horizontal="center" vertical="top" wrapText="1" shrinkToFit="1"/>
      <protection locked="0"/>
    </xf>
    <xf numFmtId="0" fontId="6" fillId="0" borderId="77" xfId="0" applyNumberFormat="1" applyFont="1" applyFill="1" applyBorder="1" applyAlignment="1" applyProtection="1">
      <alignment horizontal="center" vertical="top" wrapText="1" shrinkToFit="1"/>
      <protection locked="0"/>
    </xf>
    <xf numFmtId="0" fontId="6" fillId="0" borderId="103" xfId="0" applyNumberFormat="1" applyFont="1" applyFill="1" applyBorder="1" applyAlignment="1" applyProtection="1">
      <alignment horizontal="center" vertical="top" wrapText="1" shrinkToFit="1"/>
      <protection locked="0"/>
    </xf>
    <xf numFmtId="0" fontId="3" fillId="0" borderId="42" xfId="0" applyNumberFormat="1" applyFont="1" applyFill="1" applyBorder="1" applyAlignment="1" applyProtection="1">
      <alignment horizontal="center" vertical="top" wrapText="1" shrinkToFit="1"/>
      <protection locked="0"/>
    </xf>
    <xf numFmtId="0" fontId="4" fillId="0" borderId="77" xfId="0" applyFont="1" applyFill="1" applyBorder="1" applyAlignment="1" applyProtection="1">
      <alignment horizontal="left" vertical="top" wrapText="1" readingOrder="1"/>
      <protection locked="0"/>
    </xf>
    <xf numFmtId="0" fontId="7" fillId="0" borderId="121" xfId="0" applyFont="1" applyFill="1" applyBorder="1" applyAlignment="1" applyProtection="1">
      <alignment horizontal="left" vertical="top" wrapText="1" readingOrder="1"/>
      <protection locked="0"/>
    </xf>
    <xf numFmtId="0" fontId="7" fillId="0" borderId="117" xfId="0" applyFont="1" applyFill="1" applyBorder="1" applyAlignment="1" applyProtection="1">
      <alignment horizontal="left" vertical="top" wrapText="1" readingOrder="1"/>
      <protection locked="0"/>
    </xf>
    <xf numFmtId="0" fontId="4" fillId="0" borderId="57" xfId="0" applyFont="1" applyFill="1" applyBorder="1" applyAlignment="1" applyProtection="1">
      <alignment horizontal="left" vertical="top" wrapText="1" readingOrder="1"/>
      <protection locked="0"/>
    </xf>
    <xf numFmtId="0" fontId="4" fillId="0" borderId="107" xfId="0" applyFont="1" applyFill="1" applyBorder="1" applyAlignment="1" applyProtection="1">
      <alignment horizontal="center" vertical="top" wrapText="1" readingOrder="1"/>
      <protection locked="0"/>
    </xf>
    <xf numFmtId="0" fontId="6" fillId="0" borderId="63" xfId="0" applyNumberFormat="1" applyFont="1" applyFill="1" applyBorder="1" applyAlignment="1" applyProtection="1">
      <alignment horizontal="center" vertical="top" wrapText="1"/>
    </xf>
    <xf numFmtId="0" fontId="1" fillId="0" borderId="2" xfId="0" applyFont="1" applyFill="1" applyBorder="1" applyAlignment="1">
      <alignment vertical="top"/>
    </xf>
    <xf numFmtId="0" fontId="4" fillId="0" borderId="10" xfId="0" applyFont="1" applyFill="1" applyBorder="1" applyAlignment="1" applyProtection="1">
      <alignment horizontal="center" vertical="top" wrapText="1"/>
      <protection locked="0"/>
    </xf>
    <xf numFmtId="0" fontId="7" fillId="0" borderId="83" xfId="0" applyFont="1" applyFill="1" applyBorder="1" applyAlignment="1" applyProtection="1">
      <alignment horizontal="left" vertical="top" wrapText="1" readingOrder="1"/>
      <protection locked="0"/>
    </xf>
    <xf numFmtId="0" fontId="7" fillId="0" borderId="75" xfId="0" applyFont="1" applyFill="1" applyBorder="1" applyAlignment="1" applyProtection="1">
      <alignment horizontal="left" vertical="top" wrapText="1" readingOrder="1"/>
      <protection locked="0"/>
    </xf>
    <xf numFmtId="0" fontId="7" fillId="0" borderId="62" xfId="0" applyFont="1" applyFill="1" applyBorder="1" applyAlignment="1" applyProtection="1">
      <alignment horizontal="left" vertical="top" wrapText="1" readingOrder="1"/>
      <protection locked="0"/>
    </xf>
    <xf numFmtId="0" fontId="7" fillId="0" borderId="63" xfId="0" applyFont="1" applyFill="1" applyBorder="1" applyAlignment="1" applyProtection="1">
      <alignment horizontal="center" vertical="top" wrapText="1" readingOrder="1"/>
      <protection locked="0"/>
    </xf>
    <xf numFmtId="0" fontId="4" fillId="0" borderId="107" xfId="0" applyFont="1" applyFill="1" applyBorder="1" applyAlignment="1" applyProtection="1">
      <alignment horizontal="left" vertical="top" wrapText="1" readingOrder="1"/>
      <protection locked="0"/>
    </xf>
    <xf numFmtId="0" fontId="4" fillId="0" borderId="88" xfId="0" applyFont="1" applyFill="1" applyBorder="1" applyAlignment="1" applyProtection="1">
      <alignment horizontal="left" vertical="top" wrapText="1" readingOrder="1"/>
      <protection locked="0"/>
    </xf>
    <xf numFmtId="49" fontId="12" fillId="0" borderId="26"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54" xfId="0" applyNumberFormat="1" applyFont="1" applyFill="1" applyBorder="1" applyAlignment="1">
      <alignment horizontal="center" vertical="center"/>
    </xf>
    <xf numFmtId="49" fontId="12" fillId="2" borderId="26" xfId="0" applyNumberFormat="1" applyFont="1" applyFill="1" applyBorder="1" applyAlignment="1">
      <alignment horizontal="center" vertical="center"/>
    </xf>
    <xf numFmtId="49" fontId="12" fillId="2" borderId="54" xfId="0" applyNumberFormat="1" applyFont="1" applyFill="1" applyBorder="1" applyAlignment="1">
      <alignment horizontal="center" vertical="center"/>
    </xf>
    <xf numFmtId="49" fontId="12" fillId="2" borderId="24" xfId="0" applyNumberFormat="1" applyFont="1" applyFill="1" applyBorder="1" applyAlignment="1">
      <alignment horizontal="center" vertical="center"/>
    </xf>
    <xf numFmtId="49" fontId="1" fillId="0" borderId="5" xfId="0" applyNumberFormat="1" applyFont="1" applyBorder="1" applyAlignment="1">
      <alignment horizontal="center"/>
    </xf>
    <xf numFmtId="49" fontId="0" fillId="0" borderId="5" xfId="0" applyNumberFormat="1" applyBorder="1" applyAlignment="1">
      <alignment horizontal="center"/>
    </xf>
  </cellXfs>
  <cellStyles count="2">
    <cellStyle name="Обычный" xfId="0" builtinId="0"/>
    <cellStyle name="Обычный_TMP_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R562"/>
  <sheetViews>
    <sheetView showGridLines="0" tabSelected="1" zoomScaleNormal="100" zoomScaleSheetLayoutView="80" workbookViewId="0">
      <selection activeCell="A2" sqref="A2:A4"/>
    </sheetView>
  </sheetViews>
  <sheetFormatPr defaultRowHeight="18.75"/>
  <cols>
    <col min="1" max="1" width="36.140625" style="24" customWidth="1"/>
    <col min="2" max="2" width="5.85546875" style="200" customWidth="1"/>
    <col min="3" max="3" width="22" style="24" customWidth="1"/>
    <col min="4" max="4" width="6.28515625" style="24" customWidth="1"/>
    <col min="5" max="5" width="9" style="24" customWidth="1"/>
    <col min="6" max="6" width="22.140625" style="24" customWidth="1"/>
    <col min="7" max="7" width="6.5703125" style="24" customWidth="1"/>
    <col min="8" max="8" width="10" style="24" customWidth="1"/>
    <col min="9" max="9" width="49" style="24" customWidth="1"/>
    <col min="10" max="10" width="6.42578125" style="24" customWidth="1"/>
    <col min="11" max="11" width="9.7109375" style="24" customWidth="1"/>
    <col min="12" max="13" width="3.7109375" style="24" customWidth="1"/>
    <col min="14" max="14" width="9.5703125" style="571" customWidth="1"/>
    <col min="15" max="17" width="9.28515625" style="24" customWidth="1"/>
    <col min="18" max="18" width="9.42578125" style="93" customWidth="1"/>
    <col min="19" max="16384" width="9.140625" style="93"/>
  </cols>
  <sheetData>
    <row r="1" spans="1:18" ht="18" customHeight="1">
      <c r="A1" s="880" t="s">
        <v>1556</v>
      </c>
      <c r="B1" s="880"/>
      <c r="C1" s="880"/>
      <c r="D1" s="880"/>
      <c r="E1" s="880"/>
      <c r="F1" s="880"/>
      <c r="G1" s="880"/>
      <c r="H1" s="880"/>
      <c r="I1" s="880"/>
      <c r="J1" s="880"/>
      <c r="K1" s="880"/>
      <c r="L1" s="880"/>
      <c r="M1" s="880"/>
      <c r="N1" s="880"/>
      <c r="O1" s="880"/>
      <c r="P1" s="880"/>
      <c r="Q1" s="880"/>
    </row>
    <row r="2" spans="1:18" s="94" customFormat="1" ht="12.75" customHeight="1">
      <c r="A2" s="905" t="s">
        <v>483</v>
      </c>
      <c r="B2" s="810" t="s">
        <v>0</v>
      </c>
      <c r="C2" s="881" t="s">
        <v>484</v>
      </c>
      <c r="D2" s="882"/>
      <c r="E2" s="882"/>
      <c r="F2" s="882"/>
      <c r="G2" s="882"/>
      <c r="H2" s="882"/>
      <c r="I2" s="882"/>
      <c r="J2" s="882"/>
      <c r="K2" s="883"/>
      <c r="L2" s="893" t="s">
        <v>1</v>
      </c>
      <c r="M2" s="894"/>
      <c r="N2" s="782"/>
      <c r="O2" s="782"/>
      <c r="P2" s="782"/>
      <c r="Q2" s="782"/>
      <c r="R2" s="782"/>
    </row>
    <row r="3" spans="1:18" s="94" customFormat="1" ht="23.25" customHeight="1">
      <c r="A3" s="906"/>
      <c r="B3" s="811"/>
      <c r="C3" s="881" t="s">
        <v>4</v>
      </c>
      <c r="D3" s="882"/>
      <c r="E3" s="883"/>
      <c r="F3" s="881" t="s">
        <v>5</v>
      </c>
      <c r="G3" s="882"/>
      <c r="H3" s="883"/>
      <c r="I3" s="881" t="s">
        <v>52</v>
      </c>
      <c r="J3" s="882"/>
      <c r="K3" s="883"/>
      <c r="L3" s="895"/>
      <c r="M3" s="896"/>
      <c r="N3" s="884">
        <v>2022</v>
      </c>
      <c r="O3" s="884"/>
      <c r="P3" s="884" t="s">
        <v>1334</v>
      </c>
      <c r="Q3" s="899" t="s">
        <v>1335</v>
      </c>
      <c r="R3" s="663" t="s">
        <v>6</v>
      </c>
    </row>
    <row r="4" spans="1:18" s="94" customFormat="1" ht="84" customHeight="1">
      <c r="A4" s="907"/>
      <c r="B4" s="851"/>
      <c r="C4" s="717" t="s">
        <v>404</v>
      </c>
      <c r="D4" s="717" t="s">
        <v>7</v>
      </c>
      <c r="E4" s="717" t="s">
        <v>8</v>
      </c>
      <c r="F4" s="717" t="s">
        <v>404</v>
      </c>
      <c r="G4" s="717" t="s">
        <v>7</v>
      </c>
      <c r="H4" s="717" t="s">
        <v>8</v>
      </c>
      <c r="I4" s="717" t="s">
        <v>404</v>
      </c>
      <c r="J4" s="717" t="s">
        <v>7</v>
      </c>
      <c r="K4" s="717" t="s">
        <v>8</v>
      </c>
      <c r="L4" s="717" t="s">
        <v>9</v>
      </c>
      <c r="M4" s="112" t="s">
        <v>10</v>
      </c>
      <c r="N4" s="561" t="s">
        <v>11</v>
      </c>
      <c r="O4" s="663" t="s">
        <v>12</v>
      </c>
      <c r="P4" s="884"/>
      <c r="Q4" s="900"/>
      <c r="R4" s="663" t="s">
        <v>1336</v>
      </c>
    </row>
    <row r="5" spans="1:18" s="94" customFormat="1" ht="12">
      <c r="A5" s="688" t="s">
        <v>2</v>
      </c>
      <c r="B5" s="688" t="s">
        <v>13</v>
      </c>
      <c r="C5" s="717" t="s">
        <v>14</v>
      </c>
      <c r="D5" s="717" t="s">
        <v>15</v>
      </c>
      <c r="E5" s="717" t="s">
        <v>16</v>
      </c>
      <c r="F5" s="717" t="s">
        <v>17</v>
      </c>
      <c r="G5" s="717" t="s">
        <v>18</v>
      </c>
      <c r="H5" s="717" t="s">
        <v>19</v>
      </c>
      <c r="I5" s="717">
        <v>9</v>
      </c>
      <c r="J5" s="717">
        <v>10</v>
      </c>
      <c r="K5" s="717">
        <v>11</v>
      </c>
      <c r="L5" s="717">
        <v>12</v>
      </c>
      <c r="M5" s="112">
        <v>13</v>
      </c>
      <c r="N5" s="562">
        <v>17</v>
      </c>
      <c r="O5" s="669"/>
      <c r="P5" s="278"/>
      <c r="Q5" s="255">
        <v>18</v>
      </c>
      <c r="R5" s="255">
        <v>19</v>
      </c>
    </row>
    <row r="6" spans="1:18" s="95" customFormat="1" ht="59.25" customHeight="1">
      <c r="A6" s="28" t="s">
        <v>477</v>
      </c>
      <c r="B6" s="747" t="s">
        <v>25</v>
      </c>
      <c r="C6" s="747" t="s">
        <v>26</v>
      </c>
      <c r="D6" s="747" t="s">
        <v>26</v>
      </c>
      <c r="E6" s="747" t="s">
        <v>26</v>
      </c>
      <c r="F6" s="747" t="s">
        <v>26</v>
      </c>
      <c r="G6" s="747" t="s">
        <v>26</v>
      </c>
      <c r="H6" s="747" t="s">
        <v>26</v>
      </c>
      <c r="I6" s="747" t="s">
        <v>26</v>
      </c>
      <c r="J6" s="747" t="s">
        <v>26</v>
      </c>
      <c r="K6" s="747" t="s">
        <v>26</v>
      </c>
      <c r="L6" s="747"/>
      <c r="M6" s="274"/>
      <c r="N6" s="127">
        <f>N7+N282+N338+N361+N422+N427+N561</f>
        <v>2222087.5080000004</v>
      </c>
      <c r="O6" s="127">
        <f>O7+O282+O338+O361+O422+O427+O561</f>
        <v>2092560.5970000005</v>
      </c>
      <c r="P6" s="127">
        <f>P7+P282+P338+P361+P422+P427+P561</f>
        <v>2219647.1379999998</v>
      </c>
      <c r="Q6" s="127">
        <f>Q7+Q282+Q338+Q361+Q422+Q427+Q561</f>
        <v>1550447.7049999998</v>
      </c>
      <c r="R6" s="127">
        <f>R7+R282+R338+R361+R422+R427+R561</f>
        <v>1492217.5380000002</v>
      </c>
    </row>
    <row r="7" spans="1:18" s="95" customFormat="1" ht="72">
      <c r="A7" s="28" t="s">
        <v>478</v>
      </c>
      <c r="B7" s="747" t="s">
        <v>27</v>
      </c>
      <c r="C7" s="747" t="s">
        <v>26</v>
      </c>
      <c r="D7" s="747" t="s">
        <v>26</v>
      </c>
      <c r="E7" s="747" t="s">
        <v>26</v>
      </c>
      <c r="F7" s="747" t="s">
        <v>26</v>
      </c>
      <c r="G7" s="747" t="s">
        <v>26</v>
      </c>
      <c r="H7" s="747" t="s">
        <v>26</v>
      </c>
      <c r="I7" s="747" t="s">
        <v>26</v>
      </c>
      <c r="J7" s="747" t="s">
        <v>26</v>
      </c>
      <c r="K7" s="747" t="s">
        <v>26</v>
      </c>
      <c r="L7" s="747"/>
      <c r="M7" s="274"/>
      <c r="N7" s="127">
        <f>N8+N274</f>
        <v>879892.26900000032</v>
      </c>
      <c r="O7" s="127">
        <f>O8+O274</f>
        <v>786016.52600000019</v>
      </c>
      <c r="P7" s="127">
        <f>P8+P274</f>
        <v>1055283.037</v>
      </c>
      <c r="Q7" s="127">
        <f>Q8+Q274</f>
        <v>467681.7429999999</v>
      </c>
      <c r="R7" s="127">
        <f>R8+R274</f>
        <v>397241.06600000005</v>
      </c>
    </row>
    <row r="8" spans="1:18" s="95" customFormat="1" ht="72">
      <c r="A8" s="28" t="s">
        <v>953</v>
      </c>
      <c r="B8" s="747">
        <v>1002</v>
      </c>
      <c r="C8" s="747" t="s">
        <v>26</v>
      </c>
      <c r="D8" s="747" t="s">
        <v>26</v>
      </c>
      <c r="E8" s="747" t="s">
        <v>26</v>
      </c>
      <c r="F8" s="747" t="s">
        <v>26</v>
      </c>
      <c r="G8" s="747" t="s">
        <v>26</v>
      </c>
      <c r="H8" s="747" t="s">
        <v>26</v>
      </c>
      <c r="I8" s="747" t="s">
        <v>26</v>
      </c>
      <c r="J8" s="747" t="s">
        <v>26</v>
      </c>
      <c r="K8" s="747" t="s">
        <v>26</v>
      </c>
      <c r="L8" s="54"/>
      <c r="M8" s="126"/>
      <c r="N8" s="127">
        <f>N9+N11+N13+N17+N20+N23+N24+N25+N30+N31+N45+N86+N124+N140+N143+N144+N147+N151+N154+N161+N181+N182+N185+N187+N193+N200+N201+N203+N212+N229+N231+N235+N245+N267+N271+N272</f>
        <v>811946.3690000003</v>
      </c>
      <c r="O8" s="127">
        <f>O9+O11+O13+O17+O20+O23+O24+O25+O30+O31+O45+O86+O124+O140+O143+O144+O147+O151+O154+O161+O181+O182+O185+O187+O193+O200+O201+O203+O212+O229+O231+O235+O245+O267+O271+O272</f>
        <v>718070.62600000016</v>
      </c>
      <c r="P8" s="127">
        <f>P9+P11+P13+P17+P20+P23+P24+P25+P30+P31+P45+P86+P124+P140+P143+P144+P147+P151+P154+P161+P181+P182+P185+P187+P193+P200+P201+P203+P212+P229+P231+P235+P245+P267+P271+P272</f>
        <v>986277.53700000001</v>
      </c>
      <c r="Q8" s="127">
        <f>Q9+Q11+Q13+Q17+Q20+Q23+Q24+Q25+Q30+Q31+Q45+Q86+Q124+Q140+Q143+Q144+Q147+Q151+Q154+Q161+Q181+Q182+Q185+Q187+Q193+Q200+Q201+Q203+Q212+Q229+Q231+Q235+Q245+Q267+Q271+Q272</f>
        <v>398415.84299999988</v>
      </c>
      <c r="R8" s="127">
        <f>R9+R11+R13+R17+R20+R23+R24+R25+R30+R31+R45+R86+R124+R140+R143+R144+R147+R151+R154+R161+R181+R182+R185+R187+R193+R200+R201+R203+R212+R229+R231+R235+R245+R267+R271+R272</f>
        <v>397241.06600000005</v>
      </c>
    </row>
    <row r="9" spans="1:18" s="95" customFormat="1" ht="12" customHeight="1">
      <c r="A9" s="911" t="s">
        <v>479</v>
      </c>
      <c r="B9" s="890">
        <v>1005</v>
      </c>
      <c r="C9" s="156"/>
      <c r="D9" s="41"/>
      <c r="E9" s="41"/>
      <c r="F9" s="41"/>
      <c r="G9" s="41"/>
      <c r="H9" s="41"/>
      <c r="I9" s="10"/>
      <c r="J9" s="10"/>
      <c r="K9" s="10"/>
      <c r="L9" s="720" t="s">
        <v>29</v>
      </c>
      <c r="M9" s="116" t="s">
        <v>23</v>
      </c>
      <c r="N9" s="127">
        <f t="shared" ref="N9:R9" si="0">SUM(N10:N10)</f>
        <v>2083.2869999999998</v>
      </c>
      <c r="O9" s="127">
        <f t="shared" si="0"/>
        <v>2016.258</v>
      </c>
      <c r="P9" s="127">
        <f t="shared" si="0"/>
        <v>2972.06</v>
      </c>
      <c r="Q9" s="127">
        <f t="shared" si="0"/>
        <v>2898.7</v>
      </c>
      <c r="R9" s="127">
        <f t="shared" si="0"/>
        <v>2953.3</v>
      </c>
    </row>
    <row r="10" spans="1:18" s="94" customFormat="1" ht="156.75" customHeight="1">
      <c r="A10" s="912"/>
      <c r="B10" s="890"/>
      <c r="C10" s="201" t="s">
        <v>53</v>
      </c>
      <c r="D10" s="692" t="s">
        <v>69</v>
      </c>
      <c r="E10" s="692" t="s">
        <v>54</v>
      </c>
      <c r="F10" s="681" t="s">
        <v>28</v>
      </c>
      <c r="G10" s="681" t="s">
        <v>28</v>
      </c>
      <c r="H10" s="681" t="s">
        <v>28</v>
      </c>
      <c r="I10" s="202" t="s">
        <v>1007</v>
      </c>
      <c r="J10" s="681" t="s">
        <v>70</v>
      </c>
      <c r="K10" s="681" t="s">
        <v>71</v>
      </c>
      <c r="L10" s="681" t="s">
        <v>29</v>
      </c>
      <c r="M10" s="705" t="s">
        <v>23</v>
      </c>
      <c r="N10" s="52">
        <f>2071.287+12</f>
        <v>2083.2869999999998</v>
      </c>
      <c r="O10" s="364">
        <f>2004.258+12</f>
        <v>2016.258</v>
      </c>
      <c r="P10" s="52">
        <f>2822.06+150</f>
        <v>2972.06</v>
      </c>
      <c r="Q10" s="52">
        <v>2898.7</v>
      </c>
      <c r="R10" s="52">
        <v>2953.3</v>
      </c>
    </row>
    <row r="11" spans="1:18" s="95" customFormat="1" ht="47.25" customHeight="1">
      <c r="A11" s="913" t="s">
        <v>480</v>
      </c>
      <c r="B11" s="914">
        <v>1006</v>
      </c>
      <c r="C11" s="873" t="s">
        <v>53</v>
      </c>
      <c r="D11" s="873" t="s">
        <v>315</v>
      </c>
      <c r="E11" s="873" t="s">
        <v>54</v>
      </c>
      <c r="F11" s="890"/>
      <c r="G11" s="890"/>
      <c r="H11" s="890"/>
      <c r="I11" s="743" t="s">
        <v>83</v>
      </c>
      <c r="J11" s="743" t="s">
        <v>64</v>
      </c>
      <c r="K11" s="743" t="s">
        <v>67</v>
      </c>
      <c r="L11" s="525" t="s">
        <v>32</v>
      </c>
      <c r="M11" s="525" t="s">
        <v>33</v>
      </c>
      <c r="N11" s="545">
        <v>0</v>
      </c>
      <c r="O11" s="545">
        <v>0</v>
      </c>
      <c r="P11" s="545">
        <v>25.018999999999998</v>
      </c>
      <c r="Q11" s="545">
        <v>26122.400000000001</v>
      </c>
      <c r="R11" s="545">
        <v>26122.400000000001</v>
      </c>
    </row>
    <row r="12" spans="1:18" s="95" customFormat="1" ht="60.75" customHeight="1">
      <c r="A12" s="913"/>
      <c r="B12" s="915"/>
      <c r="C12" s="873"/>
      <c r="D12" s="873"/>
      <c r="E12" s="873"/>
      <c r="F12" s="890"/>
      <c r="G12" s="890"/>
      <c r="H12" s="890"/>
      <c r="I12" s="742" t="s">
        <v>1518</v>
      </c>
      <c r="J12" s="742" t="s">
        <v>64</v>
      </c>
      <c r="K12" s="742" t="s">
        <v>1462</v>
      </c>
      <c r="L12" s="732"/>
      <c r="M12" s="732"/>
      <c r="N12" s="546"/>
      <c r="O12" s="546"/>
      <c r="P12" s="546"/>
      <c r="Q12" s="546"/>
      <c r="R12" s="546"/>
    </row>
    <row r="13" spans="1:18" s="95" customFormat="1" ht="12" customHeight="1">
      <c r="A13" s="916" t="s">
        <v>1160</v>
      </c>
      <c r="B13" s="434">
        <v>1007</v>
      </c>
      <c r="C13" s="350"/>
      <c r="D13" s="350"/>
      <c r="E13" s="350"/>
      <c r="F13" s="350"/>
      <c r="G13" s="350"/>
      <c r="H13" s="237"/>
      <c r="I13" s="237"/>
      <c r="J13" s="237"/>
      <c r="K13" s="237"/>
      <c r="L13" s="350" t="s">
        <v>34</v>
      </c>
      <c r="M13" s="350" t="s">
        <v>35</v>
      </c>
      <c r="N13" s="238">
        <f>SUM(N14:N16)</f>
        <v>3471.085</v>
      </c>
      <c r="O13" s="238">
        <f t="shared" ref="O13:R13" si="1">SUM(O14:O16)</f>
        <v>3471.085</v>
      </c>
      <c r="P13" s="238">
        <f t="shared" si="1"/>
        <v>48372.7</v>
      </c>
      <c r="Q13" s="238">
        <f t="shared" si="1"/>
        <v>2785</v>
      </c>
      <c r="R13" s="238">
        <f t="shared" si="1"/>
        <v>2947</v>
      </c>
    </row>
    <row r="14" spans="1:18" s="94" customFormat="1" ht="120" customHeight="1">
      <c r="A14" s="917"/>
      <c r="B14" s="770"/>
      <c r="C14" s="680" t="s">
        <v>53</v>
      </c>
      <c r="D14" s="680" t="s">
        <v>74</v>
      </c>
      <c r="E14" s="680" t="s">
        <v>54</v>
      </c>
      <c r="F14" s="680" t="s">
        <v>771</v>
      </c>
      <c r="G14" s="680" t="s">
        <v>902</v>
      </c>
      <c r="H14" s="680" t="s">
        <v>810</v>
      </c>
      <c r="I14" s="692" t="s">
        <v>1262</v>
      </c>
      <c r="J14" s="692" t="s">
        <v>64</v>
      </c>
      <c r="K14" s="692" t="s">
        <v>510</v>
      </c>
      <c r="L14" s="680"/>
      <c r="M14" s="680"/>
      <c r="N14" s="279">
        <v>3471.085</v>
      </c>
      <c r="O14" s="365">
        <v>3471.085</v>
      </c>
      <c r="P14" s="279">
        <f>2220+4343</f>
        <v>6563</v>
      </c>
      <c r="Q14" s="131">
        <f>2220+565</f>
        <v>2785</v>
      </c>
      <c r="R14" s="131">
        <f>2220+727</f>
        <v>2947</v>
      </c>
    </row>
    <row r="15" spans="1:18" s="94" customFormat="1" ht="48" customHeight="1">
      <c r="A15" s="918"/>
      <c r="B15" s="770"/>
      <c r="C15" s="736"/>
      <c r="D15" s="736"/>
      <c r="E15" s="736"/>
      <c r="F15" s="736"/>
      <c r="G15" s="736"/>
      <c r="H15" s="736"/>
      <c r="I15" s="672" t="s">
        <v>1139</v>
      </c>
      <c r="J15" s="672" t="s">
        <v>64</v>
      </c>
      <c r="K15" s="672" t="s">
        <v>1140</v>
      </c>
      <c r="L15" s="736"/>
      <c r="M15" s="736"/>
      <c r="N15" s="384"/>
      <c r="O15" s="366"/>
      <c r="P15" s="366"/>
      <c r="Q15" s="132"/>
      <c r="R15" s="132"/>
    </row>
    <row r="16" spans="1:18" s="94" customFormat="1" ht="83.25" customHeight="1">
      <c r="A16" s="918"/>
      <c r="B16" s="413" t="s">
        <v>474</v>
      </c>
      <c r="C16" s="736"/>
      <c r="D16" s="681"/>
      <c r="E16" s="681"/>
      <c r="F16" s="681"/>
      <c r="G16" s="681"/>
      <c r="H16" s="681"/>
      <c r="I16" s="692" t="s">
        <v>756</v>
      </c>
      <c r="J16" s="692" t="s">
        <v>64</v>
      </c>
      <c r="K16" s="692" t="s">
        <v>73</v>
      </c>
      <c r="L16" s="681"/>
      <c r="M16" s="681"/>
      <c r="N16" s="43">
        <v>0</v>
      </c>
      <c r="O16" s="366">
        <v>0</v>
      </c>
      <c r="P16" s="280">
        <v>41809.699999999997</v>
      </c>
      <c r="Q16" s="132">
        <v>0</v>
      </c>
      <c r="R16" s="132">
        <v>0</v>
      </c>
    </row>
    <row r="17" spans="1:18" s="95" customFormat="1" ht="14.25" customHeight="1">
      <c r="A17" s="913" t="s">
        <v>954</v>
      </c>
      <c r="B17" s="616" t="s">
        <v>511</v>
      </c>
      <c r="C17" s="56"/>
      <c r="D17" s="615"/>
      <c r="E17" s="613"/>
      <c r="F17" s="614"/>
      <c r="G17" s="614"/>
      <c r="H17" s="614"/>
      <c r="I17" s="617"/>
      <c r="J17" s="617"/>
      <c r="K17" s="617"/>
      <c r="L17" s="31" t="s">
        <v>34</v>
      </c>
      <c r="M17" s="31" t="s">
        <v>37</v>
      </c>
      <c r="N17" s="171">
        <f t="shared" ref="N17:O17" si="2">SUM(N18:N18)</f>
        <v>3359.9949999999999</v>
      </c>
      <c r="O17" s="171">
        <f t="shared" si="2"/>
        <v>3299.9949999999999</v>
      </c>
      <c r="P17" s="171">
        <f>SUM(P18:P19)</f>
        <v>16940</v>
      </c>
      <c r="Q17" s="171">
        <f t="shared" ref="Q17:R17" si="3">SUM(Q18:Q19)</f>
        <v>10200</v>
      </c>
      <c r="R17" s="171">
        <f t="shared" si="3"/>
        <v>10200</v>
      </c>
    </row>
    <row r="18" spans="1:18" s="94" customFormat="1" ht="54" customHeight="1">
      <c r="A18" s="913"/>
      <c r="B18" s="443"/>
      <c r="C18" s="1003" t="s">
        <v>53</v>
      </c>
      <c r="D18" s="782" t="s">
        <v>75</v>
      </c>
      <c r="E18" s="782" t="s">
        <v>54</v>
      </c>
      <c r="F18" s="782" t="s">
        <v>28</v>
      </c>
      <c r="G18" s="782" t="s">
        <v>28</v>
      </c>
      <c r="H18" s="782" t="s">
        <v>28</v>
      </c>
      <c r="I18" s="783" t="s">
        <v>1263</v>
      </c>
      <c r="J18" s="785" t="s">
        <v>651</v>
      </c>
      <c r="K18" s="785" t="s">
        <v>72</v>
      </c>
      <c r="L18" s="618"/>
      <c r="M18" s="618"/>
      <c r="N18" s="619">
        <f>60+3299.995</f>
        <v>3359.9949999999999</v>
      </c>
      <c r="O18" s="619">
        <v>3299.9949999999999</v>
      </c>
      <c r="P18" s="619">
        <f>2240+4500</f>
        <v>6740</v>
      </c>
      <c r="Q18" s="619">
        <v>0</v>
      </c>
      <c r="R18" s="619">
        <v>0</v>
      </c>
    </row>
    <row r="19" spans="1:18" s="94" customFormat="1" ht="54" customHeight="1">
      <c r="A19" s="913"/>
      <c r="B19" s="677" t="s">
        <v>507</v>
      </c>
      <c r="C19" s="936"/>
      <c r="D19" s="782"/>
      <c r="E19" s="782"/>
      <c r="F19" s="782"/>
      <c r="G19" s="782"/>
      <c r="H19" s="782"/>
      <c r="I19" s="784"/>
      <c r="J19" s="785"/>
      <c r="K19" s="785"/>
      <c r="L19" s="742"/>
      <c r="M19" s="742"/>
      <c r="N19" s="492">
        <v>0</v>
      </c>
      <c r="O19" s="492">
        <v>0</v>
      </c>
      <c r="P19" s="492">
        <v>10200</v>
      </c>
      <c r="Q19" s="492">
        <v>10200</v>
      </c>
      <c r="R19" s="492">
        <v>10200</v>
      </c>
    </row>
    <row r="20" spans="1:18" s="95" customFormat="1" ht="13.5" customHeight="1">
      <c r="A20" s="897" t="s">
        <v>512</v>
      </c>
      <c r="B20" s="909">
        <v>1010</v>
      </c>
      <c r="C20" s="56"/>
      <c r="D20" s="56"/>
      <c r="E20" s="56"/>
      <c r="F20" s="56"/>
      <c r="G20" s="56"/>
      <c r="H20" s="56"/>
      <c r="I20" s="8"/>
      <c r="J20" s="159"/>
      <c r="K20" s="159"/>
      <c r="L20" s="720" t="s">
        <v>34</v>
      </c>
      <c r="M20" s="720" t="s">
        <v>37</v>
      </c>
      <c r="N20" s="82">
        <f t="shared" ref="N20:R20" si="4">SUM(N21:N21)</f>
        <v>4583.8100000000004</v>
      </c>
      <c r="O20" s="82">
        <f t="shared" si="4"/>
        <v>4583.7330000000002</v>
      </c>
      <c r="P20" s="82">
        <f t="shared" si="4"/>
        <v>10728.753000000001</v>
      </c>
      <c r="Q20" s="82">
        <f t="shared" si="4"/>
        <v>0</v>
      </c>
      <c r="R20" s="82">
        <f t="shared" si="4"/>
        <v>0</v>
      </c>
    </row>
    <row r="21" spans="1:18" s="94" customFormat="1" ht="59.25" customHeight="1">
      <c r="A21" s="898"/>
      <c r="B21" s="910"/>
      <c r="C21" s="719" t="s">
        <v>53</v>
      </c>
      <c r="D21" s="719" t="s">
        <v>75</v>
      </c>
      <c r="E21" s="719" t="s">
        <v>54</v>
      </c>
      <c r="F21" s="44"/>
      <c r="G21" s="44"/>
      <c r="H21" s="44"/>
      <c r="I21" s="203" t="s">
        <v>734</v>
      </c>
      <c r="J21" s="502" t="s">
        <v>64</v>
      </c>
      <c r="K21" s="502" t="s">
        <v>735</v>
      </c>
      <c r="L21" s="719"/>
      <c r="M21" s="719"/>
      <c r="N21" s="37">
        <v>4583.8100000000004</v>
      </c>
      <c r="O21" s="369">
        <v>4583.7330000000002</v>
      </c>
      <c r="P21" s="37">
        <f>3600+7128.753</f>
        <v>10728.753000000001</v>
      </c>
      <c r="Q21" s="37">
        <v>0</v>
      </c>
      <c r="R21" s="37">
        <v>0</v>
      </c>
    </row>
    <row r="22" spans="1:18" s="94" customFormat="1" ht="106.5" customHeight="1">
      <c r="A22" s="723"/>
      <c r="B22" s="730"/>
      <c r="C22" s="719"/>
      <c r="D22" s="719"/>
      <c r="E22" s="719"/>
      <c r="F22" s="44"/>
      <c r="G22" s="44"/>
      <c r="H22" s="44"/>
      <c r="I22" s="227" t="s">
        <v>1263</v>
      </c>
      <c r="J22" s="762" t="s">
        <v>651</v>
      </c>
      <c r="K22" s="762" t="s">
        <v>72</v>
      </c>
      <c r="L22" s="719"/>
      <c r="M22" s="719"/>
      <c r="N22" s="37"/>
      <c r="O22" s="369"/>
      <c r="P22" s="37"/>
      <c r="Q22" s="37"/>
      <c r="R22" s="37"/>
    </row>
    <row r="23" spans="1:18" s="95" customFormat="1" ht="59.25" hidden="1" customHeight="1">
      <c r="A23" s="56" t="s">
        <v>513</v>
      </c>
      <c r="B23" s="720">
        <v>1013</v>
      </c>
      <c r="C23" s="663"/>
      <c r="D23" s="663"/>
      <c r="E23" s="663"/>
      <c r="F23" s="663"/>
      <c r="G23" s="83"/>
      <c r="H23" s="147"/>
      <c r="I23" s="138"/>
      <c r="J23" s="7"/>
      <c r="K23" s="7"/>
      <c r="L23" s="720"/>
      <c r="M23" s="720"/>
      <c r="N23" s="82"/>
      <c r="O23" s="56"/>
      <c r="P23" s="56"/>
      <c r="Q23" s="56"/>
      <c r="R23" s="56"/>
    </row>
    <row r="24" spans="1:18" s="95" customFormat="1" ht="59.25" hidden="1" customHeight="1">
      <c r="A24" s="56" t="s">
        <v>514</v>
      </c>
      <c r="B24" s="720">
        <v>1014</v>
      </c>
      <c r="C24" s="663" t="s">
        <v>53</v>
      </c>
      <c r="D24" s="663" t="s">
        <v>316</v>
      </c>
      <c r="E24" s="663" t="s">
        <v>54</v>
      </c>
      <c r="F24" s="663" t="s">
        <v>395</v>
      </c>
      <c r="G24" s="83" t="s">
        <v>64</v>
      </c>
      <c r="H24" s="147" t="s">
        <v>396</v>
      </c>
      <c r="I24" s="138" t="s">
        <v>76</v>
      </c>
      <c r="J24" s="7" t="s">
        <v>64</v>
      </c>
      <c r="K24" s="7" t="s">
        <v>77</v>
      </c>
      <c r="L24" s="720" t="s">
        <v>29</v>
      </c>
      <c r="M24" s="720" t="s">
        <v>23</v>
      </c>
      <c r="N24" s="82"/>
      <c r="O24" s="56"/>
      <c r="P24" s="56"/>
      <c r="Q24" s="56"/>
      <c r="R24" s="56"/>
    </row>
    <row r="25" spans="1:18" s="95" customFormat="1" ht="47.25" customHeight="1">
      <c r="A25" s="56" t="s">
        <v>515</v>
      </c>
      <c r="B25" s="720">
        <v>1015</v>
      </c>
      <c r="C25" s="56"/>
      <c r="D25" s="56"/>
      <c r="E25" s="56"/>
      <c r="F25" s="56"/>
      <c r="G25" s="56"/>
      <c r="H25" s="56"/>
      <c r="I25" s="305"/>
      <c r="J25" s="8"/>
      <c r="K25" s="8"/>
      <c r="L25" s="720"/>
      <c r="M25" s="720"/>
      <c r="N25" s="82">
        <f>SUM(N27:N28)</f>
        <v>207.774</v>
      </c>
      <c r="O25" s="82">
        <f t="shared" ref="O25:R25" si="5">SUM(O27:O28)</f>
        <v>194.17400000000001</v>
      </c>
      <c r="P25" s="82">
        <f t="shared" si="5"/>
        <v>363.1</v>
      </c>
      <c r="Q25" s="82">
        <f t="shared" si="5"/>
        <v>0</v>
      </c>
      <c r="R25" s="82">
        <f t="shared" si="5"/>
        <v>145.6</v>
      </c>
    </row>
    <row r="26" spans="1:18" s="95" customFormat="1" ht="10.5" customHeight="1">
      <c r="A26" s="296" t="s">
        <v>89</v>
      </c>
      <c r="B26" s="297"/>
      <c r="C26" s="296"/>
      <c r="D26" s="296"/>
      <c r="E26" s="296"/>
      <c r="F26" s="296"/>
      <c r="G26" s="296"/>
      <c r="H26" s="296"/>
      <c r="I26" s="298"/>
      <c r="J26" s="299"/>
      <c r="K26" s="299"/>
      <c r="L26" s="770"/>
      <c r="M26" s="528"/>
      <c r="N26" s="390"/>
      <c r="O26" s="444"/>
      <c r="P26" s="444"/>
      <c r="Q26" s="444"/>
      <c r="R26" s="444"/>
    </row>
    <row r="27" spans="1:18" s="94" customFormat="1" ht="61.5" customHeight="1">
      <c r="A27" s="919"/>
      <c r="B27" s="919"/>
      <c r="C27" s="995" t="s">
        <v>84</v>
      </c>
      <c r="D27" s="995" t="s">
        <v>85</v>
      </c>
      <c r="E27" s="995" t="s">
        <v>86</v>
      </c>
      <c r="F27" s="793" t="s">
        <v>87</v>
      </c>
      <c r="G27" s="793" t="s">
        <v>661</v>
      </c>
      <c r="H27" s="793" t="s">
        <v>88</v>
      </c>
      <c r="I27" s="671" t="s">
        <v>78</v>
      </c>
      <c r="J27" s="671" t="s">
        <v>79</v>
      </c>
      <c r="K27" s="671" t="s">
        <v>80</v>
      </c>
      <c r="L27" s="533" t="s">
        <v>38</v>
      </c>
      <c r="M27" s="533">
        <v>10</v>
      </c>
      <c r="N27" s="534">
        <v>172.17400000000001</v>
      </c>
      <c r="O27" s="534">
        <v>158.57400000000001</v>
      </c>
      <c r="P27" s="534">
        <v>363.1</v>
      </c>
      <c r="Q27" s="534">
        <v>0</v>
      </c>
      <c r="R27" s="535">
        <v>145.6</v>
      </c>
    </row>
    <row r="28" spans="1:18" s="94" customFormat="1" ht="85.5" customHeight="1">
      <c r="A28" s="920"/>
      <c r="B28" s="920"/>
      <c r="C28" s="996"/>
      <c r="D28" s="996"/>
      <c r="E28" s="996"/>
      <c r="F28" s="794"/>
      <c r="G28" s="794"/>
      <c r="H28" s="794"/>
      <c r="I28" s="416" t="s">
        <v>509</v>
      </c>
      <c r="J28" s="672" t="s">
        <v>81</v>
      </c>
      <c r="K28" s="672" t="s">
        <v>82</v>
      </c>
      <c r="L28" s="413" t="s">
        <v>38</v>
      </c>
      <c r="M28" s="413" t="s">
        <v>24</v>
      </c>
      <c r="N28" s="384">
        <v>35.6</v>
      </c>
      <c r="O28" s="384">
        <v>35.6</v>
      </c>
      <c r="P28" s="384">
        <v>0</v>
      </c>
      <c r="Q28" s="384">
        <v>0</v>
      </c>
      <c r="R28" s="132">
        <v>0</v>
      </c>
    </row>
    <row r="29" spans="1:18" s="94" customFormat="1" ht="60" customHeight="1">
      <c r="A29" s="921"/>
      <c r="B29" s="921"/>
      <c r="C29" s="997"/>
      <c r="D29" s="997"/>
      <c r="E29" s="997"/>
      <c r="F29" s="795"/>
      <c r="G29" s="795"/>
      <c r="H29" s="795"/>
      <c r="I29" s="532" t="s">
        <v>1521</v>
      </c>
      <c r="J29" s="673" t="s">
        <v>1296</v>
      </c>
      <c r="K29" s="673" t="s">
        <v>1035</v>
      </c>
      <c r="L29" s="536"/>
      <c r="M29" s="536"/>
      <c r="N29" s="537"/>
      <c r="O29" s="537"/>
      <c r="P29" s="537"/>
      <c r="Q29" s="537"/>
      <c r="R29" s="538"/>
    </row>
    <row r="30" spans="1:18" s="95" customFormat="1" ht="59.25" hidden="1" customHeight="1">
      <c r="A30" s="529" t="s">
        <v>516</v>
      </c>
      <c r="B30" s="770">
        <v>1018</v>
      </c>
      <c r="C30" s="530" t="s">
        <v>53</v>
      </c>
      <c r="D30" s="531" t="s">
        <v>317</v>
      </c>
      <c r="E30" s="194" t="s">
        <v>54</v>
      </c>
      <c r="F30" s="412" t="s">
        <v>28</v>
      </c>
      <c r="G30" s="412" t="s">
        <v>28</v>
      </c>
      <c r="H30" s="412" t="s">
        <v>28</v>
      </c>
      <c r="I30" s="736" t="s">
        <v>93</v>
      </c>
      <c r="J30" s="736" t="s">
        <v>64</v>
      </c>
      <c r="K30" s="736" t="s">
        <v>92</v>
      </c>
      <c r="L30" s="747" t="s">
        <v>32</v>
      </c>
      <c r="M30" s="274" t="s">
        <v>38</v>
      </c>
      <c r="N30" s="127"/>
      <c r="O30" s="363"/>
      <c r="P30" s="127"/>
      <c r="Q30" s="127"/>
      <c r="R30" s="127"/>
    </row>
    <row r="31" spans="1:18" s="94" customFormat="1" ht="165.75" customHeight="1">
      <c r="A31" s="28" t="s">
        <v>955</v>
      </c>
      <c r="B31" s="747">
        <v>1019</v>
      </c>
      <c r="C31" s="12"/>
      <c r="D31" s="13"/>
      <c r="E31" s="14"/>
      <c r="F31" s="28" t="s">
        <v>28</v>
      </c>
      <c r="G31" s="28" t="s">
        <v>28</v>
      </c>
      <c r="H31" s="28" t="s">
        <v>28</v>
      </c>
      <c r="I31" s="28" t="s">
        <v>28</v>
      </c>
      <c r="J31" s="28" t="s">
        <v>28</v>
      </c>
      <c r="K31" s="28" t="s">
        <v>28</v>
      </c>
      <c r="L31" s="747"/>
      <c r="M31" s="274"/>
      <c r="N31" s="127">
        <f t="shared" ref="N31:R31" si="6">SUM(N33:N34)</f>
        <v>165566.16499999998</v>
      </c>
      <c r="O31" s="127">
        <f t="shared" si="6"/>
        <v>165564.66499999998</v>
      </c>
      <c r="P31" s="127">
        <f t="shared" si="6"/>
        <v>119555.889</v>
      </c>
      <c r="Q31" s="127">
        <f t="shared" si="6"/>
        <v>111676.492</v>
      </c>
      <c r="R31" s="127">
        <f t="shared" si="6"/>
        <v>112251.292</v>
      </c>
    </row>
    <row r="32" spans="1:18" s="94" customFormat="1" ht="12" customHeight="1">
      <c r="A32" s="56" t="s">
        <v>89</v>
      </c>
      <c r="B32" s="720"/>
      <c r="C32" s="150"/>
      <c r="D32" s="150"/>
      <c r="E32" s="150"/>
      <c r="F32" s="56"/>
      <c r="G32" s="56"/>
      <c r="H32" s="56"/>
      <c r="I32" s="56"/>
      <c r="J32" s="56"/>
      <c r="K32" s="56"/>
      <c r="L32" s="720"/>
      <c r="M32" s="720"/>
      <c r="N32" s="82"/>
      <c r="O32" s="82"/>
      <c r="P32" s="82"/>
      <c r="Q32" s="82"/>
      <c r="R32" s="82"/>
    </row>
    <row r="33" spans="1:18" s="96" customFormat="1" ht="13.5" customHeight="1">
      <c r="A33" s="70"/>
      <c r="B33" s="98"/>
      <c r="C33" s="151"/>
      <c r="D33" s="151"/>
      <c r="E33" s="151"/>
      <c r="F33" s="70"/>
      <c r="G33" s="70"/>
      <c r="H33" s="70"/>
      <c r="I33" s="70"/>
      <c r="J33" s="70"/>
      <c r="K33" s="70"/>
      <c r="L33" s="71" t="s">
        <v>40</v>
      </c>
      <c r="M33" s="71" t="s">
        <v>29</v>
      </c>
      <c r="N33" s="160">
        <f>N35+N37+N38+N39+N41+N42+N44</f>
        <v>139627.86499999999</v>
      </c>
      <c r="O33" s="160">
        <f t="shared" ref="O33:R33" si="7">O35+O37+O38+O39+O41+O42+O44</f>
        <v>139627.86499999999</v>
      </c>
      <c r="P33" s="160">
        <f>P35+P37+P38+P39+P41+P42+P44</f>
        <v>104018.64499999999</v>
      </c>
      <c r="Q33" s="160">
        <f t="shared" si="7"/>
        <v>96491.191999999995</v>
      </c>
      <c r="R33" s="160">
        <f t="shared" si="7"/>
        <v>96934.592000000004</v>
      </c>
    </row>
    <row r="34" spans="1:18" s="96" customFormat="1" ht="13.5" customHeight="1">
      <c r="A34" s="70"/>
      <c r="B34" s="98"/>
      <c r="C34" s="151"/>
      <c r="D34" s="151"/>
      <c r="E34" s="151"/>
      <c r="F34" s="70"/>
      <c r="G34" s="70"/>
      <c r="H34" s="70"/>
      <c r="I34" s="70"/>
      <c r="J34" s="70"/>
      <c r="K34" s="70"/>
      <c r="L34" s="71" t="s">
        <v>40</v>
      </c>
      <c r="M34" s="71" t="s">
        <v>33</v>
      </c>
      <c r="N34" s="160">
        <f t="shared" ref="N34" si="8">N36</f>
        <v>25938.3</v>
      </c>
      <c r="O34" s="160">
        <f t="shared" ref="O34:R34" si="9">O36</f>
        <v>25936.799999999999</v>
      </c>
      <c r="P34" s="160">
        <f t="shared" si="9"/>
        <v>15537.244000000001</v>
      </c>
      <c r="Q34" s="160">
        <f t="shared" si="9"/>
        <v>15185.3</v>
      </c>
      <c r="R34" s="160">
        <f t="shared" si="9"/>
        <v>15316.7</v>
      </c>
    </row>
    <row r="35" spans="1:18" s="94" customFormat="1" ht="84.75" customHeight="1">
      <c r="A35" s="885" t="s">
        <v>589</v>
      </c>
      <c r="B35" s="887"/>
      <c r="C35" s="908" t="s">
        <v>326</v>
      </c>
      <c r="D35" s="908" t="s">
        <v>320</v>
      </c>
      <c r="E35" s="908" t="s">
        <v>57</v>
      </c>
      <c r="F35" s="908" t="s">
        <v>324</v>
      </c>
      <c r="G35" s="908" t="s">
        <v>301</v>
      </c>
      <c r="H35" s="908" t="s">
        <v>204</v>
      </c>
      <c r="I35" s="728" t="s">
        <v>302</v>
      </c>
      <c r="J35" s="728" t="s">
        <v>64</v>
      </c>
      <c r="K35" s="520" t="s">
        <v>106</v>
      </c>
      <c r="L35" s="773" t="s">
        <v>40</v>
      </c>
      <c r="M35" s="773" t="s">
        <v>29</v>
      </c>
      <c r="N35" s="505">
        <f>93826.4+3080.123</f>
        <v>96906.523000000001</v>
      </c>
      <c r="O35" s="516">
        <f>93826.4+3080.123</f>
        <v>96906.523000000001</v>
      </c>
      <c r="P35" s="516">
        <f>100597.7+504.2</f>
        <v>101101.9</v>
      </c>
      <c r="Q35" s="516">
        <v>95940.2</v>
      </c>
      <c r="R35" s="516">
        <v>96383.6</v>
      </c>
    </row>
    <row r="36" spans="1:18" s="94" customFormat="1" ht="85.5" customHeight="1">
      <c r="A36" s="886"/>
      <c r="B36" s="786"/>
      <c r="C36" s="796"/>
      <c r="D36" s="796"/>
      <c r="E36" s="796"/>
      <c r="F36" s="796"/>
      <c r="G36" s="796"/>
      <c r="H36" s="796"/>
      <c r="I36" s="674" t="s">
        <v>1264</v>
      </c>
      <c r="J36" s="674" t="s">
        <v>64</v>
      </c>
      <c r="K36" s="675" t="s">
        <v>1126</v>
      </c>
      <c r="L36" s="451" t="s">
        <v>40</v>
      </c>
      <c r="M36" s="451" t="s">
        <v>33</v>
      </c>
      <c r="N36" s="482">
        <v>25938.3</v>
      </c>
      <c r="O36" s="450">
        <v>25936.799999999999</v>
      </c>
      <c r="P36" s="450">
        <v>15537.244000000001</v>
      </c>
      <c r="Q36" s="450">
        <v>15185.3</v>
      </c>
      <c r="R36" s="450">
        <v>15316.7</v>
      </c>
    </row>
    <row r="37" spans="1:18" s="94" customFormat="1" ht="48.75" customHeight="1">
      <c r="A37" s="481" t="s">
        <v>590</v>
      </c>
      <c r="B37" s="451"/>
      <c r="C37" s="674"/>
      <c r="D37" s="674"/>
      <c r="E37" s="674"/>
      <c r="F37" s="674"/>
      <c r="G37" s="674"/>
      <c r="H37" s="674"/>
      <c r="I37" s="674" t="s">
        <v>1521</v>
      </c>
      <c r="J37" s="674" t="s">
        <v>64</v>
      </c>
      <c r="K37" s="674" t="s">
        <v>1035</v>
      </c>
      <c r="L37" s="451" t="s">
        <v>40</v>
      </c>
      <c r="M37" s="451" t="s">
        <v>29</v>
      </c>
      <c r="N37" s="482">
        <v>0</v>
      </c>
      <c r="O37" s="450">
        <v>0</v>
      </c>
      <c r="P37" s="450">
        <v>2330</v>
      </c>
      <c r="Q37" s="450">
        <v>0</v>
      </c>
      <c r="R37" s="450">
        <v>0</v>
      </c>
    </row>
    <row r="38" spans="1:18" s="94" customFormat="1" ht="60" customHeight="1">
      <c r="A38" s="481" t="s">
        <v>1277</v>
      </c>
      <c r="B38" s="451"/>
      <c r="C38" s="674"/>
      <c r="D38" s="674"/>
      <c r="E38" s="674"/>
      <c r="F38" s="674"/>
      <c r="G38" s="674"/>
      <c r="H38" s="674"/>
      <c r="I38" s="674" t="s">
        <v>1525</v>
      </c>
      <c r="J38" s="674" t="s">
        <v>64</v>
      </c>
      <c r="K38" s="674" t="s">
        <v>1035</v>
      </c>
      <c r="L38" s="451" t="s">
        <v>40</v>
      </c>
      <c r="M38" s="451" t="s">
        <v>29</v>
      </c>
      <c r="N38" s="482">
        <v>17.495999999999999</v>
      </c>
      <c r="O38" s="450">
        <v>17.495999999999999</v>
      </c>
      <c r="P38" s="450">
        <v>35.844999999999999</v>
      </c>
      <c r="Q38" s="450">
        <v>0</v>
      </c>
      <c r="R38" s="450">
        <v>0</v>
      </c>
    </row>
    <row r="39" spans="1:18" s="94" customFormat="1" ht="203.25" customHeight="1">
      <c r="A39" s="481" t="s">
        <v>1278</v>
      </c>
      <c r="B39" s="451" t="s">
        <v>309</v>
      </c>
      <c r="C39" s="674"/>
      <c r="D39" s="674"/>
      <c r="E39" s="674"/>
      <c r="F39" s="796" t="s">
        <v>1004</v>
      </c>
      <c r="G39" s="517" t="s">
        <v>81</v>
      </c>
      <c r="H39" s="517" t="s">
        <v>464</v>
      </c>
      <c r="I39" s="674" t="s">
        <v>1534</v>
      </c>
      <c r="J39" s="674" t="s">
        <v>64</v>
      </c>
      <c r="K39" s="675" t="s">
        <v>1151</v>
      </c>
      <c r="L39" s="451" t="s">
        <v>40</v>
      </c>
      <c r="M39" s="451" t="s">
        <v>29</v>
      </c>
      <c r="N39" s="482">
        <v>42568.5</v>
      </c>
      <c r="O39" s="450">
        <v>42568.5</v>
      </c>
      <c r="P39" s="450">
        <v>0</v>
      </c>
      <c r="Q39" s="450">
        <v>0</v>
      </c>
      <c r="R39" s="450">
        <v>0</v>
      </c>
    </row>
    <row r="40" spans="1:18" s="94" customFormat="1" ht="47.25" customHeight="1">
      <c r="A40" s="481"/>
      <c r="B40" s="451"/>
      <c r="C40" s="674"/>
      <c r="D40" s="674"/>
      <c r="E40" s="674"/>
      <c r="F40" s="796"/>
      <c r="G40" s="517"/>
      <c r="H40" s="517"/>
      <c r="I40" s="668" t="s">
        <v>83</v>
      </c>
      <c r="J40" s="668" t="s">
        <v>64</v>
      </c>
      <c r="K40" s="668" t="s">
        <v>67</v>
      </c>
      <c r="L40" s="451"/>
      <c r="M40" s="451"/>
      <c r="N40" s="482"/>
      <c r="O40" s="450"/>
      <c r="P40" s="450"/>
      <c r="Q40" s="450"/>
      <c r="R40" s="450"/>
    </row>
    <row r="41" spans="1:18" s="94" customFormat="1" ht="193.5" customHeight="1">
      <c r="A41" s="481" t="s">
        <v>1386</v>
      </c>
      <c r="B41" s="451" t="s">
        <v>1387</v>
      </c>
      <c r="C41" s="716" t="s">
        <v>325</v>
      </c>
      <c r="D41" s="716" t="s">
        <v>1449</v>
      </c>
      <c r="E41" s="716" t="s">
        <v>463</v>
      </c>
      <c r="F41" s="716" t="s">
        <v>1085</v>
      </c>
      <c r="G41" s="667" t="s">
        <v>1088</v>
      </c>
      <c r="H41" s="716" t="s">
        <v>810</v>
      </c>
      <c r="I41" s="668" t="s">
        <v>1535</v>
      </c>
      <c r="J41" s="668" t="s">
        <v>64</v>
      </c>
      <c r="K41" s="668" t="s">
        <v>1448</v>
      </c>
      <c r="L41" s="451" t="s">
        <v>40</v>
      </c>
      <c r="M41" s="451" t="s">
        <v>29</v>
      </c>
      <c r="N41" s="482">
        <v>0</v>
      </c>
      <c r="O41" s="450">
        <v>0</v>
      </c>
      <c r="P41" s="450">
        <v>550.9</v>
      </c>
      <c r="Q41" s="450">
        <v>550.99199999999996</v>
      </c>
      <c r="R41" s="450">
        <v>550.99199999999996</v>
      </c>
    </row>
    <row r="42" spans="1:18" s="94" customFormat="1" ht="95.25" hidden="1" customHeight="1">
      <c r="A42" s="481" t="s">
        <v>1279</v>
      </c>
      <c r="B42" s="451" t="s">
        <v>764</v>
      </c>
      <c r="C42" s="674"/>
      <c r="D42" s="674"/>
      <c r="E42" s="674"/>
      <c r="F42" s="674"/>
      <c r="G42" s="674"/>
      <c r="H42" s="674"/>
      <c r="I42" s="668"/>
      <c r="J42" s="668"/>
      <c r="K42" s="668"/>
      <c r="L42" s="451" t="s">
        <v>40</v>
      </c>
      <c r="M42" s="451" t="s">
        <v>29</v>
      </c>
      <c r="N42" s="482">
        <v>0</v>
      </c>
      <c r="O42" s="450">
        <v>0</v>
      </c>
      <c r="P42" s="450">
        <v>0</v>
      </c>
      <c r="Q42" s="450">
        <v>0</v>
      </c>
      <c r="R42" s="450">
        <v>0</v>
      </c>
    </row>
    <row r="43" spans="1:18" s="94" customFormat="1" ht="24">
      <c r="A43" s="481" t="s">
        <v>1388</v>
      </c>
      <c r="B43" s="451"/>
      <c r="C43" s="668"/>
      <c r="D43" s="668"/>
      <c r="E43" s="668"/>
      <c r="F43" s="786" t="s">
        <v>461</v>
      </c>
      <c r="G43" s="790" t="s">
        <v>695</v>
      </c>
      <c r="H43" s="790" t="s">
        <v>462</v>
      </c>
      <c r="I43" s="668"/>
      <c r="J43" s="668"/>
      <c r="K43" s="668"/>
      <c r="L43" s="451"/>
      <c r="M43" s="451"/>
      <c r="N43" s="482"/>
      <c r="O43" s="450"/>
      <c r="P43" s="450"/>
      <c r="Q43" s="450"/>
      <c r="R43" s="450"/>
    </row>
    <row r="44" spans="1:18" s="94" customFormat="1" ht="107.25" customHeight="1">
      <c r="A44" s="518" t="s">
        <v>89</v>
      </c>
      <c r="B44" s="519" t="s">
        <v>452</v>
      </c>
      <c r="C44" s="669"/>
      <c r="D44" s="669"/>
      <c r="E44" s="669"/>
      <c r="F44" s="787"/>
      <c r="G44" s="791"/>
      <c r="H44" s="791"/>
      <c r="I44" s="669" t="s">
        <v>1238</v>
      </c>
      <c r="J44" s="669" t="s">
        <v>64</v>
      </c>
      <c r="K44" s="669" t="s">
        <v>1239</v>
      </c>
      <c r="L44" s="519" t="s">
        <v>40</v>
      </c>
      <c r="M44" s="519" t="s">
        <v>29</v>
      </c>
      <c r="N44" s="370">
        <v>135.346</v>
      </c>
      <c r="O44" s="376">
        <v>135.346</v>
      </c>
      <c r="P44" s="376">
        <v>0</v>
      </c>
      <c r="Q44" s="376">
        <v>0</v>
      </c>
      <c r="R44" s="376">
        <v>0</v>
      </c>
    </row>
    <row r="45" spans="1:18" s="94" customFormat="1" ht="191.25" customHeight="1">
      <c r="A45" s="161" t="s">
        <v>956</v>
      </c>
      <c r="B45" s="137" t="s">
        <v>354</v>
      </c>
      <c r="C45" s="162"/>
      <c r="D45" s="162"/>
      <c r="E45" s="162"/>
      <c r="F45" s="162"/>
      <c r="G45" s="162"/>
      <c r="H45" s="163"/>
      <c r="I45" s="162"/>
      <c r="J45" s="162"/>
      <c r="K45" s="163"/>
      <c r="L45" s="164"/>
      <c r="M45" s="164"/>
      <c r="N45" s="171">
        <f t="shared" ref="N45:O45" si="10">SUM(N46:N85)</f>
        <v>154948.03900000002</v>
      </c>
      <c r="O45" s="171">
        <f t="shared" si="10"/>
        <v>154815.44500000001</v>
      </c>
      <c r="P45" s="171">
        <f>SUM(P46:P85)</f>
        <v>186867.27600000004</v>
      </c>
      <c r="Q45" s="171">
        <f t="shared" ref="Q45:R45" si="11">SUM(Q46:Q85)</f>
        <v>68281.903999999995</v>
      </c>
      <c r="R45" s="171">
        <f t="shared" si="11"/>
        <v>75640.205000000002</v>
      </c>
    </row>
    <row r="46" spans="1:18" s="94" customFormat="1" ht="156" customHeight="1">
      <c r="A46" s="821" t="s">
        <v>605</v>
      </c>
      <c r="B46" s="888"/>
      <c r="C46" s="733" t="s">
        <v>326</v>
      </c>
      <c r="D46" s="733" t="s">
        <v>318</v>
      </c>
      <c r="E46" s="733" t="s">
        <v>57</v>
      </c>
      <c r="F46" s="733" t="s">
        <v>324</v>
      </c>
      <c r="G46" s="733" t="s">
        <v>319</v>
      </c>
      <c r="H46" s="733" t="s">
        <v>204</v>
      </c>
      <c r="I46" s="716" t="s">
        <v>712</v>
      </c>
      <c r="J46" s="716" t="s">
        <v>64</v>
      </c>
      <c r="K46" s="716" t="s">
        <v>401</v>
      </c>
      <c r="L46" s="550" t="s">
        <v>40</v>
      </c>
      <c r="M46" s="768" t="s">
        <v>33</v>
      </c>
      <c r="N46" s="192">
        <f>23382.999+4785.332</f>
        <v>28168.330999999998</v>
      </c>
      <c r="O46" s="371">
        <f>23382.727+4785.332</f>
        <v>28168.059000000001</v>
      </c>
      <c r="P46" s="72">
        <f>23475.802+258.95</f>
        <v>23734.752</v>
      </c>
      <c r="Q46" s="72">
        <v>21925</v>
      </c>
      <c r="R46" s="72">
        <v>22372</v>
      </c>
    </row>
    <row r="47" spans="1:18" s="94" customFormat="1" ht="84">
      <c r="A47" s="892"/>
      <c r="B47" s="781"/>
      <c r="C47" s="670"/>
      <c r="D47" s="670"/>
      <c r="E47" s="670"/>
      <c r="F47" s="670"/>
      <c r="G47" s="670"/>
      <c r="H47" s="670"/>
      <c r="I47" s="670" t="s">
        <v>1264</v>
      </c>
      <c r="J47" s="670" t="s">
        <v>64</v>
      </c>
      <c r="K47" s="670" t="s">
        <v>1126</v>
      </c>
      <c r="L47" s="435"/>
      <c r="M47" s="121"/>
      <c r="N47" s="369"/>
      <c r="O47" s="372"/>
      <c r="P47" s="372"/>
      <c r="Q47" s="372"/>
      <c r="R47" s="372"/>
    </row>
    <row r="48" spans="1:18" s="94" customFormat="1" ht="60">
      <c r="A48" s="891"/>
      <c r="B48" s="889"/>
      <c r="C48" s="716"/>
      <c r="D48" s="716"/>
      <c r="E48" s="716"/>
      <c r="F48" s="204"/>
      <c r="G48" s="204"/>
      <c r="H48" s="204"/>
      <c r="I48" s="719" t="s">
        <v>296</v>
      </c>
      <c r="J48" s="719" t="s">
        <v>64</v>
      </c>
      <c r="K48" s="719" t="s">
        <v>304</v>
      </c>
      <c r="L48" s="552"/>
      <c r="M48" s="121"/>
      <c r="N48" s="37"/>
      <c r="O48" s="372"/>
      <c r="P48" s="73"/>
      <c r="Q48" s="73"/>
      <c r="R48" s="73"/>
    </row>
    <row r="49" spans="1:18" s="94" customFormat="1" ht="60">
      <c r="A49" s="891"/>
      <c r="B49" s="889"/>
      <c r="C49" s="716" t="s">
        <v>325</v>
      </c>
      <c r="D49" s="716" t="s">
        <v>604</v>
      </c>
      <c r="E49" s="716" t="s">
        <v>463</v>
      </c>
      <c r="F49" s="204"/>
      <c r="G49" s="204"/>
      <c r="H49" s="204"/>
      <c r="I49" s="719" t="s">
        <v>454</v>
      </c>
      <c r="J49" s="719" t="s">
        <v>64</v>
      </c>
      <c r="K49" s="719" t="s">
        <v>455</v>
      </c>
      <c r="L49" s="719"/>
      <c r="M49" s="115"/>
      <c r="N49" s="37"/>
      <c r="O49" s="372"/>
      <c r="P49" s="73"/>
      <c r="Q49" s="73"/>
      <c r="R49" s="73"/>
    </row>
    <row r="50" spans="1:18" s="94" customFormat="1" ht="48">
      <c r="A50" s="721"/>
      <c r="B50" s="719"/>
      <c r="C50" s="716"/>
      <c r="D50" s="716"/>
      <c r="E50" s="716"/>
      <c r="F50" s="716"/>
      <c r="G50" s="716"/>
      <c r="H50" s="716"/>
      <c r="I50" s="716" t="s">
        <v>83</v>
      </c>
      <c r="J50" s="716" t="s">
        <v>64</v>
      </c>
      <c r="K50" s="667" t="s">
        <v>67</v>
      </c>
      <c r="L50" s="719"/>
      <c r="M50" s="719"/>
      <c r="N50" s="37"/>
      <c r="O50" s="372"/>
      <c r="P50" s="73"/>
      <c r="Q50" s="73"/>
      <c r="R50" s="73"/>
    </row>
    <row r="51" spans="1:18" s="94" customFormat="1" ht="48.75" customHeight="1">
      <c r="A51" s="891" t="s">
        <v>591</v>
      </c>
      <c r="B51" s="552"/>
      <c r="C51" s="716" t="s">
        <v>325</v>
      </c>
      <c r="D51" s="716" t="s">
        <v>1427</v>
      </c>
      <c r="E51" s="716" t="s">
        <v>463</v>
      </c>
      <c r="F51" s="799" t="s">
        <v>298</v>
      </c>
      <c r="G51" s="799" t="s">
        <v>299</v>
      </c>
      <c r="H51" s="799" t="s">
        <v>281</v>
      </c>
      <c r="I51" s="799" t="s">
        <v>1546</v>
      </c>
      <c r="J51" s="799" t="s">
        <v>64</v>
      </c>
      <c r="K51" s="789" t="s">
        <v>1426</v>
      </c>
      <c r="L51" s="553" t="s">
        <v>40</v>
      </c>
      <c r="M51" s="553" t="s">
        <v>33</v>
      </c>
      <c r="N51" s="87">
        <v>2198.42</v>
      </c>
      <c r="O51" s="91">
        <v>2198.3330000000001</v>
      </c>
      <c r="P51" s="91">
        <v>3842.5</v>
      </c>
      <c r="Q51" s="91">
        <v>3842.5</v>
      </c>
      <c r="R51" s="91">
        <v>3842.5</v>
      </c>
    </row>
    <row r="52" spans="1:18" s="94" customFormat="1" ht="36" customHeight="1">
      <c r="A52" s="891"/>
      <c r="B52" s="552" t="s">
        <v>300</v>
      </c>
      <c r="C52" s="716"/>
      <c r="D52" s="716"/>
      <c r="E52" s="716"/>
      <c r="F52" s="799"/>
      <c r="G52" s="799"/>
      <c r="H52" s="799"/>
      <c r="I52" s="799"/>
      <c r="J52" s="799"/>
      <c r="K52" s="789"/>
      <c r="L52" s="553" t="s">
        <v>40</v>
      </c>
      <c r="M52" s="553" t="s">
        <v>33</v>
      </c>
      <c r="N52" s="37">
        <v>5486.308</v>
      </c>
      <c r="O52" s="372">
        <v>5437.7969999999996</v>
      </c>
      <c r="P52" s="73">
        <v>4438.6350000000002</v>
      </c>
      <c r="Q52" s="73">
        <v>4438.6350000000002</v>
      </c>
      <c r="R52" s="73">
        <v>4438.6350000000002</v>
      </c>
    </row>
    <row r="53" spans="1:18" s="94" customFormat="1" ht="120" customHeight="1">
      <c r="A53" s="44" t="s">
        <v>680</v>
      </c>
      <c r="B53" s="552" t="s">
        <v>438</v>
      </c>
      <c r="C53" s="716" t="s">
        <v>325</v>
      </c>
      <c r="D53" s="716" t="s">
        <v>313</v>
      </c>
      <c r="E53" s="716" t="s">
        <v>297</v>
      </c>
      <c r="F53" s="716" t="s">
        <v>670</v>
      </c>
      <c r="G53" s="716" t="s">
        <v>66</v>
      </c>
      <c r="H53" s="716" t="s">
        <v>671</v>
      </c>
      <c r="I53" s="716" t="s">
        <v>1528</v>
      </c>
      <c r="J53" s="716" t="s">
        <v>64</v>
      </c>
      <c r="K53" s="667" t="s">
        <v>1179</v>
      </c>
      <c r="L53" s="166" t="s">
        <v>40</v>
      </c>
      <c r="M53" s="167" t="s">
        <v>33</v>
      </c>
      <c r="N53" s="87">
        <v>862.4</v>
      </c>
      <c r="O53" s="91">
        <v>862.4</v>
      </c>
      <c r="P53" s="91">
        <v>847.8</v>
      </c>
      <c r="Q53" s="91">
        <v>847.8</v>
      </c>
      <c r="R53" s="91">
        <v>847.8</v>
      </c>
    </row>
    <row r="54" spans="1:18" s="94" customFormat="1" ht="157.5" customHeight="1">
      <c r="A54" s="44" t="s">
        <v>873</v>
      </c>
      <c r="B54" s="552" t="s">
        <v>311</v>
      </c>
      <c r="C54" s="716" t="s">
        <v>325</v>
      </c>
      <c r="D54" s="716" t="s">
        <v>310</v>
      </c>
      <c r="E54" s="716" t="s">
        <v>297</v>
      </c>
      <c r="F54" s="716" t="s">
        <v>672</v>
      </c>
      <c r="G54" s="667" t="s">
        <v>64</v>
      </c>
      <c r="H54" s="716" t="s">
        <v>386</v>
      </c>
      <c r="I54" s="716" t="s">
        <v>1533</v>
      </c>
      <c r="J54" s="716" t="s">
        <v>64</v>
      </c>
      <c r="K54" s="667" t="s">
        <v>1150</v>
      </c>
      <c r="L54" s="61" t="s">
        <v>40</v>
      </c>
      <c r="M54" s="123" t="s">
        <v>33</v>
      </c>
      <c r="N54" s="52">
        <v>423.68799999999999</v>
      </c>
      <c r="O54" s="373">
        <v>412.73399999999998</v>
      </c>
      <c r="P54" s="99">
        <v>670.68600000000004</v>
      </c>
      <c r="Q54" s="99">
        <v>670.68600000000004</v>
      </c>
      <c r="R54" s="99">
        <v>670.68600000000004</v>
      </c>
    </row>
    <row r="55" spans="1:18" s="94" customFormat="1" ht="42.75" customHeight="1">
      <c r="A55" s="891" t="s">
        <v>972</v>
      </c>
      <c r="B55" s="552" t="s">
        <v>718</v>
      </c>
      <c r="C55" s="716"/>
      <c r="D55" s="716"/>
      <c r="E55" s="716"/>
      <c r="F55" s="792" t="s">
        <v>1085</v>
      </c>
      <c r="G55" s="788" t="s">
        <v>1086</v>
      </c>
      <c r="H55" s="792" t="s">
        <v>810</v>
      </c>
      <c r="I55" s="799" t="s">
        <v>1005</v>
      </c>
      <c r="J55" s="799" t="s">
        <v>64</v>
      </c>
      <c r="K55" s="789" t="s">
        <v>1381</v>
      </c>
      <c r="L55" s="552" t="s">
        <v>40</v>
      </c>
      <c r="M55" s="552" t="s">
        <v>33</v>
      </c>
      <c r="N55" s="37">
        <v>465.40100000000001</v>
      </c>
      <c r="O55" s="372">
        <v>465.40100000000001</v>
      </c>
      <c r="P55" s="73">
        <v>0</v>
      </c>
      <c r="Q55" s="73">
        <v>0</v>
      </c>
      <c r="R55" s="73">
        <v>0</v>
      </c>
    </row>
    <row r="56" spans="1:18" s="94" customFormat="1" ht="42.75" customHeight="1">
      <c r="A56" s="891"/>
      <c r="B56" s="552" t="s">
        <v>715</v>
      </c>
      <c r="C56" s="716"/>
      <c r="D56" s="716"/>
      <c r="E56" s="716"/>
      <c r="F56" s="792"/>
      <c r="G56" s="788"/>
      <c r="H56" s="792"/>
      <c r="I56" s="799"/>
      <c r="J56" s="799"/>
      <c r="K56" s="789"/>
      <c r="L56" s="552" t="s">
        <v>40</v>
      </c>
      <c r="M56" s="552" t="s">
        <v>33</v>
      </c>
      <c r="N56" s="37">
        <v>14.394</v>
      </c>
      <c r="O56" s="372">
        <v>14.394</v>
      </c>
      <c r="P56" s="73">
        <v>0</v>
      </c>
      <c r="Q56" s="73">
        <v>0</v>
      </c>
      <c r="R56" s="73">
        <v>0</v>
      </c>
    </row>
    <row r="57" spans="1:18" s="94" customFormat="1" ht="41.25" customHeight="1">
      <c r="A57" s="891" t="s">
        <v>916</v>
      </c>
      <c r="B57" s="552" t="s">
        <v>716</v>
      </c>
      <c r="C57" s="716"/>
      <c r="D57" s="716"/>
      <c r="E57" s="716"/>
      <c r="F57" s="792" t="s">
        <v>1085</v>
      </c>
      <c r="G57" s="788" t="s">
        <v>1087</v>
      </c>
      <c r="H57" s="792" t="s">
        <v>810</v>
      </c>
      <c r="I57" s="799" t="s">
        <v>917</v>
      </c>
      <c r="J57" s="799" t="s">
        <v>64</v>
      </c>
      <c r="K57" s="789" t="s">
        <v>1382</v>
      </c>
      <c r="L57" s="552" t="s">
        <v>40</v>
      </c>
      <c r="M57" s="552" t="s">
        <v>33</v>
      </c>
      <c r="N57" s="37">
        <v>730.44200000000001</v>
      </c>
      <c r="O57" s="372">
        <v>730.44200000000001</v>
      </c>
      <c r="P57" s="73">
        <v>0</v>
      </c>
      <c r="Q57" s="73">
        <v>0</v>
      </c>
      <c r="R57" s="73">
        <v>0</v>
      </c>
    </row>
    <row r="58" spans="1:18" s="94" customFormat="1" ht="44.25" customHeight="1">
      <c r="A58" s="891"/>
      <c r="B58" s="552" t="s">
        <v>717</v>
      </c>
      <c r="C58" s="716"/>
      <c r="D58" s="716"/>
      <c r="E58" s="716"/>
      <c r="F58" s="792"/>
      <c r="G58" s="788"/>
      <c r="H58" s="792"/>
      <c r="I58" s="799"/>
      <c r="J58" s="799"/>
      <c r="K58" s="789"/>
      <c r="L58" s="552" t="s">
        <v>40</v>
      </c>
      <c r="M58" s="121" t="s">
        <v>33</v>
      </c>
      <c r="N58" s="37">
        <v>22.591000000000001</v>
      </c>
      <c r="O58" s="372">
        <v>22.591000000000001</v>
      </c>
      <c r="P58" s="73">
        <v>0</v>
      </c>
      <c r="Q58" s="73">
        <v>0</v>
      </c>
      <c r="R58" s="73">
        <v>0</v>
      </c>
    </row>
    <row r="59" spans="1:18" s="94" customFormat="1" ht="84.75" customHeight="1">
      <c r="A59" s="721" t="s">
        <v>1036</v>
      </c>
      <c r="B59" s="552" t="s">
        <v>727</v>
      </c>
      <c r="C59" s="716"/>
      <c r="D59" s="716"/>
      <c r="E59" s="716"/>
      <c r="F59" s="716" t="s">
        <v>1085</v>
      </c>
      <c r="G59" s="667" t="s">
        <v>1088</v>
      </c>
      <c r="H59" s="716" t="s">
        <v>810</v>
      </c>
      <c r="I59" s="716" t="s">
        <v>1152</v>
      </c>
      <c r="J59" s="716" t="s">
        <v>64</v>
      </c>
      <c r="K59" s="667" t="s">
        <v>1153</v>
      </c>
      <c r="L59" s="552" t="s">
        <v>40</v>
      </c>
      <c r="M59" s="121" t="s">
        <v>33</v>
      </c>
      <c r="N59" s="37">
        <v>1239.5</v>
      </c>
      <c r="O59" s="372">
        <v>1239.2149999999999</v>
      </c>
      <c r="P59" s="73">
        <v>1590.4</v>
      </c>
      <c r="Q59" s="73">
        <v>1129.0999999999999</v>
      </c>
      <c r="R59" s="73">
        <v>1129.0999999999999</v>
      </c>
    </row>
    <row r="60" spans="1:18" s="94" customFormat="1" ht="191.25" customHeight="1">
      <c r="A60" s="721" t="s">
        <v>1037</v>
      </c>
      <c r="B60" s="552" t="s">
        <v>837</v>
      </c>
      <c r="C60" s="716"/>
      <c r="D60" s="716"/>
      <c r="E60" s="716"/>
      <c r="F60" s="716" t="s">
        <v>1089</v>
      </c>
      <c r="G60" s="667" t="s">
        <v>66</v>
      </c>
      <c r="H60" s="716" t="s">
        <v>1090</v>
      </c>
      <c r="I60" s="716" t="s">
        <v>1526</v>
      </c>
      <c r="J60" s="716" t="s">
        <v>64</v>
      </c>
      <c r="K60" s="667" t="s">
        <v>1119</v>
      </c>
      <c r="L60" s="552" t="s">
        <v>40</v>
      </c>
      <c r="M60" s="121" t="s">
        <v>33</v>
      </c>
      <c r="N60" s="37">
        <v>20488.75</v>
      </c>
      <c r="O60" s="372">
        <v>20416.264999999999</v>
      </c>
      <c r="P60" s="73">
        <v>20755.041000000001</v>
      </c>
      <c r="Q60" s="73">
        <v>20000.91</v>
      </c>
      <c r="R60" s="73">
        <v>19556.494999999999</v>
      </c>
    </row>
    <row r="61" spans="1:18" s="94" customFormat="1" ht="96" customHeight="1">
      <c r="A61" s="661" t="s">
        <v>1398</v>
      </c>
      <c r="B61" s="451" t="s">
        <v>1127</v>
      </c>
      <c r="C61" s="674"/>
      <c r="D61" s="674"/>
      <c r="E61" s="674"/>
      <c r="F61" s="798" t="s">
        <v>1085</v>
      </c>
      <c r="G61" s="922" t="s">
        <v>1455</v>
      </c>
      <c r="H61" s="798" t="s">
        <v>1322</v>
      </c>
      <c r="I61" s="800" t="s">
        <v>1256</v>
      </c>
      <c r="J61" s="800" t="s">
        <v>64</v>
      </c>
      <c r="K61" s="800" t="s">
        <v>1136</v>
      </c>
      <c r="L61" s="451" t="s">
        <v>40</v>
      </c>
      <c r="M61" s="451" t="s">
        <v>33</v>
      </c>
      <c r="N61" s="482">
        <v>0</v>
      </c>
      <c r="O61" s="450">
        <v>0</v>
      </c>
      <c r="P61" s="450">
        <v>63149.5</v>
      </c>
      <c r="Q61" s="450">
        <v>0</v>
      </c>
      <c r="R61" s="450">
        <v>0</v>
      </c>
    </row>
    <row r="62" spans="1:18" s="94" customFormat="1" ht="43.5" customHeight="1">
      <c r="A62" s="892" t="s">
        <v>1399</v>
      </c>
      <c r="B62" s="451" t="s">
        <v>1128</v>
      </c>
      <c r="C62" s="674"/>
      <c r="D62" s="674"/>
      <c r="E62" s="674"/>
      <c r="F62" s="798"/>
      <c r="G62" s="922"/>
      <c r="H62" s="798"/>
      <c r="I62" s="800"/>
      <c r="J62" s="800"/>
      <c r="K62" s="800"/>
      <c r="L62" s="451" t="s">
        <v>40</v>
      </c>
      <c r="M62" s="452" t="s">
        <v>33</v>
      </c>
      <c r="N62" s="482">
        <v>79599.600000000006</v>
      </c>
      <c r="O62" s="450">
        <v>79599.600000000006</v>
      </c>
      <c r="P62" s="450">
        <v>26335.5</v>
      </c>
      <c r="Q62" s="450">
        <v>0</v>
      </c>
      <c r="R62" s="450">
        <v>0</v>
      </c>
    </row>
    <row r="63" spans="1:18" s="94" customFormat="1" ht="43.5" customHeight="1">
      <c r="A63" s="892"/>
      <c r="B63" s="451" t="s">
        <v>1129</v>
      </c>
      <c r="C63" s="674"/>
      <c r="D63" s="674"/>
      <c r="E63" s="674"/>
      <c r="F63" s="798"/>
      <c r="G63" s="922"/>
      <c r="H63" s="798"/>
      <c r="I63" s="800"/>
      <c r="J63" s="800"/>
      <c r="K63" s="800"/>
      <c r="L63" s="451" t="s">
        <v>40</v>
      </c>
      <c r="M63" s="452" t="s">
        <v>33</v>
      </c>
      <c r="N63" s="482">
        <v>11894.192999999999</v>
      </c>
      <c r="O63" s="450">
        <v>11894.192999999999</v>
      </c>
      <c r="P63" s="450">
        <v>3935.19</v>
      </c>
      <c r="Q63" s="450">
        <v>0</v>
      </c>
      <c r="R63" s="450">
        <v>0</v>
      </c>
    </row>
    <row r="64" spans="1:18" s="94" customFormat="1" ht="84.75" customHeight="1">
      <c r="A64" s="661" t="s">
        <v>1400</v>
      </c>
      <c r="B64" s="451" t="s">
        <v>1156</v>
      </c>
      <c r="C64" s="674"/>
      <c r="D64" s="674"/>
      <c r="E64" s="674"/>
      <c r="F64" s="674" t="s">
        <v>1085</v>
      </c>
      <c r="G64" s="675" t="s">
        <v>1453</v>
      </c>
      <c r="H64" s="674" t="s">
        <v>1322</v>
      </c>
      <c r="I64" s="719" t="s">
        <v>1181</v>
      </c>
      <c r="J64" s="668"/>
      <c r="K64" s="668"/>
      <c r="L64" s="451" t="s">
        <v>40</v>
      </c>
      <c r="M64" s="452" t="s">
        <v>33</v>
      </c>
      <c r="N64" s="482">
        <v>0</v>
      </c>
      <c r="O64" s="450">
        <v>0</v>
      </c>
      <c r="P64" s="450">
        <v>8858</v>
      </c>
      <c r="Q64" s="450">
        <v>0</v>
      </c>
      <c r="R64" s="450">
        <v>0</v>
      </c>
    </row>
    <row r="65" spans="1:18" s="94" customFormat="1" ht="75" customHeight="1">
      <c r="A65" s="661" t="s">
        <v>1401</v>
      </c>
      <c r="B65" s="451" t="s">
        <v>1157</v>
      </c>
      <c r="C65" s="674"/>
      <c r="D65" s="674"/>
      <c r="E65" s="674"/>
      <c r="F65" s="798" t="s">
        <v>1085</v>
      </c>
      <c r="G65" s="675" t="s">
        <v>1456</v>
      </c>
      <c r="H65" s="798" t="s">
        <v>1322</v>
      </c>
      <c r="I65" s="719" t="s">
        <v>1181</v>
      </c>
      <c r="J65" s="668"/>
      <c r="K65" s="668"/>
      <c r="L65" s="451" t="s">
        <v>40</v>
      </c>
      <c r="M65" s="452" t="s">
        <v>33</v>
      </c>
      <c r="N65" s="482">
        <v>0</v>
      </c>
      <c r="O65" s="450">
        <v>0</v>
      </c>
      <c r="P65" s="450">
        <v>194.9</v>
      </c>
      <c r="Q65" s="450">
        <v>0</v>
      </c>
      <c r="R65" s="450">
        <v>0</v>
      </c>
    </row>
    <row r="66" spans="1:18" s="94" customFormat="1" ht="42.75" customHeight="1">
      <c r="A66" s="892" t="s">
        <v>1402</v>
      </c>
      <c r="B66" s="451" t="s">
        <v>1158</v>
      </c>
      <c r="C66" s="674"/>
      <c r="D66" s="674"/>
      <c r="E66" s="674"/>
      <c r="F66" s="798"/>
      <c r="G66" s="797" t="s">
        <v>1454</v>
      </c>
      <c r="H66" s="798"/>
      <c r="I66" s="719" t="s">
        <v>1181</v>
      </c>
      <c r="J66" s="668"/>
      <c r="K66" s="668"/>
      <c r="L66" s="451" t="s">
        <v>40</v>
      </c>
      <c r="M66" s="452" t="s">
        <v>33</v>
      </c>
      <c r="N66" s="482">
        <v>0</v>
      </c>
      <c r="O66" s="450">
        <v>0</v>
      </c>
      <c r="P66" s="450">
        <v>6656.6</v>
      </c>
      <c r="Q66" s="450">
        <v>0</v>
      </c>
      <c r="R66" s="450">
        <v>8500</v>
      </c>
    </row>
    <row r="67" spans="1:18" s="94" customFormat="1" ht="42.75" customHeight="1">
      <c r="A67" s="892"/>
      <c r="B67" s="451" t="s">
        <v>1159</v>
      </c>
      <c r="C67" s="674"/>
      <c r="D67" s="674"/>
      <c r="E67" s="674"/>
      <c r="F67" s="798"/>
      <c r="G67" s="797"/>
      <c r="H67" s="798"/>
      <c r="I67" s="719" t="s">
        <v>1181</v>
      </c>
      <c r="J67" s="668"/>
      <c r="K67" s="668"/>
      <c r="L67" s="451" t="s">
        <v>40</v>
      </c>
      <c r="M67" s="452" t="s">
        <v>33</v>
      </c>
      <c r="N67" s="482">
        <v>0</v>
      </c>
      <c r="O67" s="450">
        <v>0</v>
      </c>
      <c r="P67" s="450">
        <v>994.7</v>
      </c>
      <c r="Q67" s="450">
        <v>0</v>
      </c>
      <c r="R67" s="450">
        <v>1270.115</v>
      </c>
    </row>
    <row r="68" spans="1:18" s="94" customFormat="1" ht="90.75" customHeight="1">
      <c r="A68" s="892" t="s">
        <v>1403</v>
      </c>
      <c r="B68" s="451" t="s">
        <v>1312</v>
      </c>
      <c r="C68" s="674"/>
      <c r="D68" s="674"/>
      <c r="E68" s="674"/>
      <c r="F68" s="796" t="s">
        <v>1085</v>
      </c>
      <c r="G68" s="675" t="s">
        <v>1321</v>
      </c>
      <c r="H68" s="674" t="s">
        <v>1322</v>
      </c>
      <c r="I68" s="790" t="s">
        <v>1529</v>
      </c>
      <c r="J68" s="790" t="s">
        <v>64</v>
      </c>
      <c r="K68" s="790" t="s">
        <v>1320</v>
      </c>
      <c r="L68" s="451" t="s">
        <v>40</v>
      </c>
      <c r="M68" s="452" t="s">
        <v>33</v>
      </c>
      <c r="N68" s="482">
        <v>610.41600000000005</v>
      </c>
      <c r="O68" s="450">
        <v>610.41600000000005</v>
      </c>
      <c r="P68" s="450">
        <v>1831.2529999999999</v>
      </c>
      <c r="Q68" s="450">
        <v>1831.2529999999999</v>
      </c>
      <c r="R68" s="450">
        <v>1831.2529999999999</v>
      </c>
    </row>
    <row r="69" spans="1:18" s="94" customFormat="1" ht="90.75" customHeight="1">
      <c r="A69" s="892"/>
      <c r="B69" s="451" t="s">
        <v>1313</v>
      </c>
      <c r="C69" s="674"/>
      <c r="D69" s="674"/>
      <c r="E69" s="674"/>
      <c r="F69" s="796"/>
      <c r="G69" s="675"/>
      <c r="H69" s="674"/>
      <c r="I69" s="790"/>
      <c r="J69" s="790"/>
      <c r="K69" s="790"/>
      <c r="L69" s="451" t="s">
        <v>40</v>
      </c>
      <c r="M69" s="452" t="s">
        <v>33</v>
      </c>
      <c r="N69" s="482">
        <v>18.881</v>
      </c>
      <c r="O69" s="450">
        <v>18.881</v>
      </c>
      <c r="P69" s="450">
        <v>56.637</v>
      </c>
      <c r="Q69" s="450">
        <v>56.637</v>
      </c>
      <c r="R69" s="450">
        <v>56.637</v>
      </c>
    </row>
    <row r="70" spans="1:18" s="94" customFormat="1" ht="192" customHeight="1">
      <c r="A70" s="661" t="s">
        <v>1404</v>
      </c>
      <c r="B70" s="451" t="s">
        <v>1387</v>
      </c>
      <c r="C70" s="674"/>
      <c r="D70" s="674"/>
      <c r="E70" s="674"/>
      <c r="F70" s="716" t="s">
        <v>1085</v>
      </c>
      <c r="G70" s="667" t="s">
        <v>1088</v>
      </c>
      <c r="H70" s="716" t="s">
        <v>810</v>
      </c>
      <c r="I70" s="668" t="s">
        <v>1535</v>
      </c>
      <c r="J70" s="668" t="s">
        <v>64</v>
      </c>
      <c r="K70" s="668" t="s">
        <v>1448</v>
      </c>
      <c r="L70" s="451" t="s">
        <v>40</v>
      </c>
      <c r="M70" s="452" t="s">
        <v>33</v>
      </c>
      <c r="N70" s="482">
        <v>0</v>
      </c>
      <c r="O70" s="450">
        <v>0</v>
      </c>
      <c r="P70" s="450">
        <v>11119.35</v>
      </c>
      <c r="Q70" s="450">
        <v>11153.103999999999</v>
      </c>
      <c r="R70" s="450">
        <v>11115.204</v>
      </c>
    </row>
    <row r="71" spans="1:18" s="94" customFormat="1" ht="42.75" customHeight="1">
      <c r="A71" s="892" t="s">
        <v>1473</v>
      </c>
      <c r="B71" s="451" t="s">
        <v>1391</v>
      </c>
      <c r="C71" s="674"/>
      <c r="D71" s="674"/>
      <c r="E71" s="674"/>
      <c r="F71" s="796" t="s">
        <v>1085</v>
      </c>
      <c r="G71" s="797" t="s">
        <v>1450</v>
      </c>
      <c r="H71" s="796" t="s">
        <v>1322</v>
      </c>
      <c r="I71" s="781" t="s">
        <v>1524</v>
      </c>
      <c r="J71" s="781" t="s">
        <v>64</v>
      </c>
      <c r="K71" s="781" t="s">
        <v>1523</v>
      </c>
      <c r="L71" s="451" t="s">
        <v>40</v>
      </c>
      <c r="M71" s="452" t="s">
        <v>33</v>
      </c>
      <c r="N71" s="482">
        <v>0</v>
      </c>
      <c r="O71" s="450">
        <v>0</v>
      </c>
      <c r="P71" s="450">
        <v>1105.116</v>
      </c>
      <c r="Q71" s="450">
        <v>1049.1310000000001</v>
      </c>
      <c r="R71" s="450">
        <v>0</v>
      </c>
    </row>
    <row r="72" spans="1:18" s="94" customFormat="1" ht="42.75" customHeight="1">
      <c r="A72" s="892"/>
      <c r="B72" s="451" t="s">
        <v>1392</v>
      </c>
      <c r="C72" s="674"/>
      <c r="D72" s="674"/>
      <c r="E72" s="674"/>
      <c r="F72" s="796"/>
      <c r="G72" s="797"/>
      <c r="H72" s="796"/>
      <c r="I72" s="781"/>
      <c r="J72" s="781"/>
      <c r="K72" s="781"/>
      <c r="L72" s="451" t="s">
        <v>40</v>
      </c>
      <c r="M72" s="452" t="s">
        <v>33</v>
      </c>
      <c r="N72" s="482">
        <v>0</v>
      </c>
      <c r="O72" s="450">
        <v>0</v>
      </c>
      <c r="P72" s="450">
        <v>34.179000000000002</v>
      </c>
      <c r="Q72" s="450">
        <v>32.448</v>
      </c>
      <c r="R72" s="450">
        <v>0</v>
      </c>
    </row>
    <row r="73" spans="1:18" s="94" customFormat="1" ht="43.5" customHeight="1">
      <c r="A73" s="892" t="s">
        <v>1474</v>
      </c>
      <c r="B73" s="451" t="s">
        <v>1395</v>
      </c>
      <c r="C73" s="674"/>
      <c r="D73" s="674"/>
      <c r="E73" s="674"/>
      <c r="F73" s="796" t="s">
        <v>1085</v>
      </c>
      <c r="G73" s="797" t="s">
        <v>1457</v>
      </c>
      <c r="H73" s="796" t="s">
        <v>1322</v>
      </c>
      <c r="I73" s="781" t="s">
        <v>1522</v>
      </c>
      <c r="J73" s="781" t="s">
        <v>64</v>
      </c>
      <c r="K73" s="781" t="s">
        <v>1523</v>
      </c>
      <c r="L73" s="451" t="s">
        <v>40</v>
      </c>
      <c r="M73" s="452" t="s">
        <v>33</v>
      </c>
      <c r="N73" s="482">
        <v>0</v>
      </c>
      <c r="O73" s="450">
        <v>0</v>
      </c>
      <c r="P73" s="450">
        <v>1550.4839999999999</v>
      </c>
      <c r="Q73" s="450">
        <v>0</v>
      </c>
      <c r="R73" s="450">
        <v>0</v>
      </c>
    </row>
    <row r="74" spans="1:18" s="94" customFormat="1" ht="43.5" customHeight="1">
      <c r="A74" s="892"/>
      <c r="B74" s="451" t="s">
        <v>1396</v>
      </c>
      <c r="C74" s="674"/>
      <c r="D74" s="674"/>
      <c r="E74" s="674"/>
      <c r="F74" s="796"/>
      <c r="G74" s="797"/>
      <c r="H74" s="796"/>
      <c r="I74" s="781"/>
      <c r="J74" s="781"/>
      <c r="K74" s="781"/>
      <c r="L74" s="451" t="s">
        <v>40</v>
      </c>
      <c r="M74" s="452" t="s">
        <v>33</v>
      </c>
      <c r="N74" s="482">
        <v>0</v>
      </c>
      <c r="O74" s="450">
        <v>0</v>
      </c>
      <c r="P74" s="450">
        <v>47.953000000000003</v>
      </c>
      <c r="Q74" s="450">
        <v>0</v>
      </c>
      <c r="R74" s="450">
        <v>0</v>
      </c>
    </row>
    <row r="75" spans="1:18" s="94" customFormat="1" ht="59.25" customHeight="1">
      <c r="A75" s="44" t="s">
        <v>1475</v>
      </c>
      <c r="B75" s="552"/>
      <c r="C75" s="716" t="s">
        <v>326</v>
      </c>
      <c r="D75" s="716" t="s">
        <v>294</v>
      </c>
      <c r="E75" s="716" t="s">
        <v>57</v>
      </c>
      <c r="F75" s="716" t="s">
        <v>324</v>
      </c>
      <c r="G75" s="716" t="s">
        <v>295</v>
      </c>
      <c r="H75" s="716" t="s">
        <v>204</v>
      </c>
      <c r="I75" s="727" t="s">
        <v>1521</v>
      </c>
      <c r="J75" s="727" t="s">
        <v>64</v>
      </c>
      <c r="K75" s="727" t="s">
        <v>1035</v>
      </c>
      <c r="L75" s="552" t="s">
        <v>40</v>
      </c>
      <c r="M75" s="121" t="s">
        <v>33</v>
      </c>
      <c r="N75" s="37">
        <v>229.65</v>
      </c>
      <c r="O75" s="372">
        <v>229.65</v>
      </c>
      <c r="P75" s="73">
        <v>463</v>
      </c>
      <c r="Q75" s="73">
        <v>0</v>
      </c>
      <c r="R75" s="73">
        <v>0</v>
      </c>
    </row>
    <row r="76" spans="1:18" s="94" customFormat="1" ht="59.25" customHeight="1">
      <c r="A76" s="44" t="s">
        <v>1476</v>
      </c>
      <c r="B76" s="552"/>
      <c r="C76" s="716" t="s">
        <v>326</v>
      </c>
      <c r="D76" s="716" t="s">
        <v>294</v>
      </c>
      <c r="E76" s="716" t="s">
        <v>57</v>
      </c>
      <c r="F76" s="716" t="s">
        <v>324</v>
      </c>
      <c r="G76" s="716" t="s">
        <v>295</v>
      </c>
      <c r="H76" s="716" t="s">
        <v>204</v>
      </c>
      <c r="I76" s="716" t="s">
        <v>723</v>
      </c>
      <c r="J76" s="716" t="s">
        <v>64</v>
      </c>
      <c r="K76" s="667" t="s">
        <v>398</v>
      </c>
      <c r="L76" s="552" t="s">
        <v>40</v>
      </c>
      <c r="M76" s="121" t="s">
        <v>33</v>
      </c>
      <c r="N76" s="37">
        <f>234.5+1318.861+91.585+751.849</f>
        <v>2396.7950000000001</v>
      </c>
      <c r="O76" s="372">
        <f>234.5+1318.861+91.585+751.849</f>
        <v>2396.7950000000001</v>
      </c>
      <c r="P76" s="73">
        <f>7.7+984.222+2081.925+30.301+63.213+1237.539+0.2</f>
        <v>4405.1000000000004</v>
      </c>
      <c r="Q76" s="73">
        <f>1304.7</f>
        <v>1304.7</v>
      </c>
      <c r="R76" s="73">
        <f>9.78</f>
        <v>9.7799999999999994</v>
      </c>
    </row>
    <row r="77" spans="1:18" s="94" customFormat="1" ht="84" customHeight="1">
      <c r="A77" s="44"/>
      <c r="B77" s="552"/>
      <c r="C77" s="716"/>
      <c r="D77" s="716"/>
      <c r="E77" s="716"/>
      <c r="F77" s="716"/>
      <c r="G77" s="716"/>
      <c r="H77" s="716"/>
      <c r="I77" s="716" t="s">
        <v>673</v>
      </c>
      <c r="J77" s="716" t="s">
        <v>64</v>
      </c>
      <c r="K77" s="667" t="s">
        <v>281</v>
      </c>
      <c r="L77" s="552"/>
      <c r="M77" s="121"/>
      <c r="N77" s="37"/>
      <c r="O77" s="372"/>
      <c r="P77" s="73"/>
      <c r="Q77" s="73"/>
      <c r="R77" s="73"/>
    </row>
    <row r="78" spans="1:18" s="94" customFormat="1" ht="49.5" customHeight="1">
      <c r="A78" s="44"/>
      <c r="B78" s="552"/>
      <c r="C78" s="716"/>
      <c r="D78" s="716"/>
      <c r="E78" s="716"/>
      <c r="F78" s="716"/>
      <c r="G78" s="716"/>
      <c r="H78" s="716"/>
      <c r="I78" s="716" t="s">
        <v>1008</v>
      </c>
      <c r="J78" s="716" t="s">
        <v>64</v>
      </c>
      <c r="K78" s="667" t="s">
        <v>508</v>
      </c>
      <c r="L78" s="552"/>
      <c r="M78" s="121"/>
      <c r="N78" s="37"/>
      <c r="O78" s="372"/>
      <c r="P78" s="73"/>
      <c r="Q78" s="73"/>
      <c r="R78" s="73"/>
    </row>
    <row r="79" spans="1:18" s="94" customFormat="1" ht="72.75" customHeight="1">
      <c r="A79" s="44"/>
      <c r="B79" s="552"/>
      <c r="C79" s="716"/>
      <c r="D79" s="716"/>
      <c r="E79" s="716"/>
      <c r="F79" s="716"/>
      <c r="G79" s="716"/>
      <c r="H79" s="716"/>
      <c r="I79" s="716" t="s">
        <v>1009</v>
      </c>
      <c r="J79" s="716" t="s">
        <v>64</v>
      </c>
      <c r="K79" s="667" t="s">
        <v>407</v>
      </c>
      <c r="L79" s="552"/>
      <c r="M79" s="121"/>
      <c r="N79" s="37"/>
      <c r="O79" s="372"/>
      <c r="P79" s="73"/>
      <c r="Q79" s="73"/>
      <c r="R79" s="73"/>
    </row>
    <row r="80" spans="1:18" s="94" customFormat="1" ht="62.25" customHeight="1">
      <c r="A80" s="44"/>
      <c r="B80" s="552"/>
      <c r="C80" s="719"/>
      <c r="D80" s="719"/>
      <c r="E80" s="719"/>
      <c r="F80" s="719"/>
      <c r="G80" s="719"/>
      <c r="H80" s="719"/>
      <c r="I80" s="716" t="s">
        <v>1525</v>
      </c>
      <c r="J80" s="716" t="s">
        <v>64</v>
      </c>
      <c r="K80" s="716" t="s">
        <v>1035</v>
      </c>
      <c r="L80" s="552"/>
      <c r="M80" s="552"/>
      <c r="N80" s="37"/>
      <c r="O80" s="372"/>
      <c r="P80" s="73"/>
      <c r="Q80" s="73"/>
      <c r="R80" s="73"/>
    </row>
    <row r="81" spans="1:18" s="94" customFormat="1" ht="23.25" customHeight="1">
      <c r="A81" s="412" t="s">
        <v>1477</v>
      </c>
      <c r="B81" s="539"/>
      <c r="C81" s="719"/>
      <c r="D81" s="719"/>
      <c r="E81" s="719"/>
      <c r="F81" s="716"/>
      <c r="G81" s="719"/>
      <c r="H81" s="719"/>
      <c r="I81" s="719"/>
      <c r="J81" s="719"/>
      <c r="K81" s="719"/>
      <c r="L81" s="552"/>
      <c r="M81" s="552"/>
      <c r="N81" s="37"/>
      <c r="O81" s="372"/>
      <c r="P81" s="73"/>
      <c r="Q81" s="73"/>
      <c r="R81" s="73"/>
    </row>
    <row r="82" spans="1:18" s="94" customFormat="1" ht="50.25" hidden="1" customHeight="1">
      <c r="A82" s="412"/>
      <c r="B82" s="413" t="s">
        <v>427</v>
      </c>
      <c r="C82" s="736"/>
      <c r="D82" s="736"/>
      <c r="E82" s="736"/>
      <c r="F82" s="950" t="s">
        <v>461</v>
      </c>
      <c r="G82" s="920" t="s">
        <v>695</v>
      </c>
      <c r="H82" s="920" t="s">
        <v>462</v>
      </c>
      <c r="I82" s="416" t="s">
        <v>945</v>
      </c>
      <c r="J82" s="540" t="s">
        <v>64</v>
      </c>
      <c r="K82" s="541" t="s">
        <v>946</v>
      </c>
      <c r="L82" s="413" t="s">
        <v>40</v>
      </c>
      <c r="M82" s="413" t="s">
        <v>33</v>
      </c>
      <c r="N82" s="384"/>
      <c r="O82" s="374"/>
      <c r="P82" s="374"/>
      <c r="Q82" s="374"/>
      <c r="R82" s="374"/>
    </row>
    <row r="83" spans="1:18" s="94" customFormat="1" ht="96" hidden="1">
      <c r="A83" s="412"/>
      <c r="B83" s="413" t="s">
        <v>993</v>
      </c>
      <c r="C83" s="736"/>
      <c r="D83" s="736"/>
      <c r="E83" s="736"/>
      <c r="F83" s="950"/>
      <c r="G83" s="920"/>
      <c r="H83" s="920"/>
      <c r="I83" s="736" t="s">
        <v>996</v>
      </c>
      <c r="J83" s="736" t="s">
        <v>64</v>
      </c>
      <c r="K83" s="736" t="s">
        <v>997</v>
      </c>
      <c r="L83" s="413" t="s">
        <v>40</v>
      </c>
      <c r="M83" s="413" t="s">
        <v>33</v>
      </c>
      <c r="N83" s="384"/>
      <c r="O83" s="374"/>
      <c r="P83" s="374"/>
      <c r="Q83" s="374"/>
      <c r="R83" s="374"/>
    </row>
    <row r="84" spans="1:18" s="94" customFormat="1" ht="120">
      <c r="A84" s="412"/>
      <c r="B84" s="413" t="s">
        <v>995</v>
      </c>
      <c r="C84" s="736"/>
      <c r="D84" s="736"/>
      <c r="E84" s="736"/>
      <c r="F84" s="754"/>
      <c r="G84" s="736"/>
      <c r="H84" s="736"/>
      <c r="I84" s="736" t="s">
        <v>1311</v>
      </c>
      <c r="J84" s="736" t="s">
        <v>64</v>
      </c>
      <c r="K84" s="736" t="s">
        <v>1301</v>
      </c>
      <c r="L84" s="413" t="s">
        <v>40</v>
      </c>
      <c r="M84" s="413" t="s">
        <v>33</v>
      </c>
      <c r="N84" s="384">
        <v>98.278999999999996</v>
      </c>
      <c r="O84" s="374">
        <v>98.278999999999996</v>
      </c>
      <c r="P84" s="374">
        <v>0</v>
      </c>
      <c r="Q84" s="374">
        <v>0</v>
      </c>
      <c r="R84" s="374">
        <v>0</v>
      </c>
    </row>
    <row r="85" spans="1:18" s="94" customFormat="1" ht="108">
      <c r="A85" s="639"/>
      <c r="B85" s="640" t="s">
        <v>432</v>
      </c>
      <c r="C85" s="631"/>
      <c r="D85" s="631"/>
      <c r="E85" s="631"/>
      <c r="F85" s="776"/>
      <c r="G85" s="631"/>
      <c r="H85" s="631"/>
      <c r="I85" s="631" t="s">
        <v>1519</v>
      </c>
      <c r="J85" s="631" t="s">
        <v>64</v>
      </c>
      <c r="K85" s="631" t="s">
        <v>1520</v>
      </c>
      <c r="L85" s="640" t="s">
        <v>40</v>
      </c>
      <c r="M85" s="640" t="s">
        <v>33</v>
      </c>
      <c r="N85" s="632">
        <v>0</v>
      </c>
      <c r="O85" s="777">
        <v>0</v>
      </c>
      <c r="P85" s="777">
        <v>250</v>
      </c>
      <c r="Q85" s="777">
        <v>0</v>
      </c>
      <c r="R85" s="777">
        <v>0</v>
      </c>
    </row>
    <row r="86" spans="1:18" s="94" customFormat="1" ht="192.75" customHeight="1">
      <c r="A86" s="161" t="s">
        <v>957</v>
      </c>
      <c r="B86" s="137" t="s">
        <v>492</v>
      </c>
      <c r="C86" s="162"/>
      <c r="D86" s="162"/>
      <c r="E86" s="162"/>
      <c r="F86" s="162"/>
      <c r="G86" s="162"/>
      <c r="H86" s="163"/>
      <c r="I86" s="162"/>
      <c r="J86" s="162"/>
      <c r="K86" s="163"/>
      <c r="L86" s="164"/>
      <c r="M86" s="164"/>
      <c r="N86" s="171">
        <f>SUM(N87:N123)</f>
        <v>232469.87999999998</v>
      </c>
      <c r="O86" s="171">
        <f t="shared" ref="O86:R86" si="12">SUM(O87:O123)</f>
        <v>146243.87599999999</v>
      </c>
      <c r="P86" s="171">
        <f t="shared" si="12"/>
        <v>318126.076</v>
      </c>
      <c r="Q86" s="171">
        <f t="shared" si="12"/>
        <v>83318.646999999997</v>
      </c>
      <c r="R86" s="171">
        <f t="shared" si="12"/>
        <v>82862.769</v>
      </c>
    </row>
    <row r="87" spans="1:18" s="94" customFormat="1" ht="157.5" customHeight="1">
      <c r="A87" s="821" t="s">
        <v>681</v>
      </c>
      <c r="B87" s="888"/>
      <c r="C87" s="733" t="s">
        <v>326</v>
      </c>
      <c r="D87" s="733" t="s">
        <v>318</v>
      </c>
      <c r="E87" s="733" t="s">
        <v>57</v>
      </c>
      <c r="F87" s="733" t="s">
        <v>324</v>
      </c>
      <c r="G87" s="733" t="s">
        <v>319</v>
      </c>
      <c r="H87" s="733" t="s">
        <v>204</v>
      </c>
      <c r="I87" s="716" t="s">
        <v>712</v>
      </c>
      <c r="J87" s="716" t="s">
        <v>64</v>
      </c>
      <c r="K87" s="716" t="s">
        <v>401</v>
      </c>
      <c r="L87" s="550" t="s">
        <v>40</v>
      </c>
      <c r="M87" s="768" t="s">
        <v>33</v>
      </c>
      <c r="N87" s="192">
        <f>39369.804+4677.259</f>
        <v>44047.062999999995</v>
      </c>
      <c r="O87" s="371">
        <f>39204.676+4677.259</f>
        <v>43881.934999999998</v>
      </c>
      <c r="P87" s="72">
        <f>42963.706+302.65</f>
        <v>43266.356</v>
      </c>
      <c r="Q87" s="72">
        <v>43141.5</v>
      </c>
      <c r="R87" s="72">
        <v>43805.1</v>
      </c>
    </row>
    <row r="88" spans="1:18" s="94" customFormat="1" ht="84">
      <c r="A88" s="892"/>
      <c r="B88" s="781"/>
      <c r="C88" s="670"/>
      <c r="D88" s="670"/>
      <c r="E88" s="670"/>
      <c r="F88" s="670"/>
      <c r="G88" s="670"/>
      <c r="H88" s="670"/>
      <c r="I88" s="670" t="s">
        <v>1125</v>
      </c>
      <c r="J88" s="670" t="s">
        <v>64</v>
      </c>
      <c r="K88" s="670" t="s">
        <v>1126</v>
      </c>
      <c r="L88" s="435"/>
      <c r="M88" s="121"/>
      <c r="N88" s="369"/>
      <c r="O88" s="372"/>
      <c r="P88" s="372"/>
      <c r="Q88" s="372"/>
      <c r="R88" s="372"/>
    </row>
    <row r="89" spans="1:18" s="94" customFormat="1" ht="60.75" customHeight="1">
      <c r="A89" s="891"/>
      <c r="B89" s="889"/>
      <c r="C89" s="716"/>
      <c r="D89" s="716"/>
      <c r="E89" s="716"/>
      <c r="F89" s="204"/>
      <c r="G89" s="204"/>
      <c r="H89" s="204"/>
      <c r="I89" s="719" t="s">
        <v>296</v>
      </c>
      <c r="J89" s="719" t="s">
        <v>64</v>
      </c>
      <c r="K89" s="719" t="s">
        <v>304</v>
      </c>
      <c r="L89" s="552"/>
      <c r="M89" s="121"/>
      <c r="N89" s="37"/>
      <c r="O89" s="372"/>
      <c r="P89" s="73"/>
      <c r="Q89" s="73"/>
      <c r="R89" s="73"/>
    </row>
    <row r="90" spans="1:18" s="94" customFormat="1" ht="63" customHeight="1">
      <c r="A90" s="891"/>
      <c r="B90" s="889"/>
      <c r="C90" s="716" t="s">
        <v>325</v>
      </c>
      <c r="D90" s="716" t="s">
        <v>674</v>
      </c>
      <c r="E90" s="716" t="s">
        <v>463</v>
      </c>
      <c r="F90" s="204"/>
      <c r="G90" s="204"/>
      <c r="H90" s="204"/>
      <c r="I90" s="719" t="s">
        <v>454</v>
      </c>
      <c r="J90" s="719" t="s">
        <v>64</v>
      </c>
      <c r="K90" s="719" t="s">
        <v>455</v>
      </c>
      <c r="L90" s="719"/>
      <c r="M90" s="115"/>
      <c r="N90" s="37"/>
      <c r="O90" s="372"/>
      <c r="P90" s="73"/>
      <c r="Q90" s="73"/>
      <c r="R90" s="73"/>
    </row>
    <row r="91" spans="1:18" s="94" customFormat="1" ht="49.5" customHeight="1">
      <c r="A91" s="721"/>
      <c r="B91" s="719"/>
      <c r="C91" s="716"/>
      <c r="D91" s="716"/>
      <c r="E91" s="716"/>
      <c r="F91" s="716"/>
      <c r="G91" s="716"/>
      <c r="H91" s="716"/>
      <c r="I91" s="716" t="s">
        <v>83</v>
      </c>
      <c r="J91" s="716" t="s">
        <v>64</v>
      </c>
      <c r="K91" s="667" t="s">
        <v>67</v>
      </c>
      <c r="L91" s="719"/>
      <c r="M91" s="719"/>
      <c r="N91" s="37"/>
      <c r="O91" s="372"/>
      <c r="P91" s="73"/>
      <c r="Q91" s="73"/>
      <c r="R91" s="73"/>
    </row>
    <row r="92" spans="1:18" s="94" customFormat="1" ht="49.5" customHeight="1">
      <c r="A92" s="891" t="s">
        <v>682</v>
      </c>
      <c r="B92" s="552"/>
      <c r="C92" s="716" t="s">
        <v>325</v>
      </c>
      <c r="D92" s="716" t="s">
        <v>1427</v>
      </c>
      <c r="E92" s="716" t="s">
        <v>463</v>
      </c>
      <c r="F92" s="799" t="s">
        <v>298</v>
      </c>
      <c r="G92" s="799" t="s">
        <v>299</v>
      </c>
      <c r="H92" s="799" t="s">
        <v>281</v>
      </c>
      <c r="I92" s="799" t="s">
        <v>1546</v>
      </c>
      <c r="J92" s="799" t="s">
        <v>64</v>
      </c>
      <c r="K92" s="789" t="s">
        <v>1426</v>
      </c>
      <c r="L92" s="553" t="s">
        <v>40</v>
      </c>
      <c r="M92" s="553" t="s">
        <v>33</v>
      </c>
      <c r="N92" s="87">
        <v>1817.36</v>
      </c>
      <c r="O92" s="91">
        <v>1817.213</v>
      </c>
      <c r="P92" s="91">
        <v>2963.3</v>
      </c>
      <c r="Q92" s="91">
        <v>2963.3</v>
      </c>
      <c r="R92" s="91">
        <v>2963.3</v>
      </c>
    </row>
    <row r="93" spans="1:18" s="94" customFormat="1" ht="37.5" customHeight="1">
      <c r="A93" s="891"/>
      <c r="B93" s="552" t="s">
        <v>300</v>
      </c>
      <c r="C93" s="716"/>
      <c r="D93" s="716"/>
      <c r="E93" s="716"/>
      <c r="F93" s="799"/>
      <c r="G93" s="799"/>
      <c r="H93" s="799"/>
      <c r="I93" s="799"/>
      <c r="J93" s="799"/>
      <c r="K93" s="789"/>
      <c r="L93" s="553" t="s">
        <v>40</v>
      </c>
      <c r="M93" s="553" t="s">
        <v>33</v>
      </c>
      <c r="N93" s="37">
        <v>3538.5920000000001</v>
      </c>
      <c r="O93" s="372">
        <v>3538.5349999999999</v>
      </c>
      <c r="P93" s="73">
        <v>3206.165</v>
      </c>
      <c r="Q93" s="73">
        <v>3206.165</v>
      </c>
      <c r="R93" s="73">
        <v>3206.165</v>
      </c>
    </row>
    <row r="94" spans="1:18" s="94" customFormat="1" ht="156" customHeight="1">
      <c r="A94" s="44" t="s">
        <v>683</v>
      </c>
      <c r="B94" s="552" t="s">
        <v>311</v>
      </c>
      <c r="C94" s="716" t="s">
        <v>325</v>
      </c>
      <c r="D94" s="716" t="s">
        <v>310</v>
      </c>
      <c r="E94" s="716" t="s">
        <v>312</v>
      </c>
      <c r="F94" s="716" t="s">
        <v>672</v>
      </c>
      <c r="G94" s="667" t="s">
        <v>64</v>
      </c>
      <c r="H94" s="716" t="s">
        <v>770</v>
      </c>
      <c r="I94" s="716" t="s">
        <v>1533</v>
      </c>
      <c r="J94" s="716" t="s">
        <v>64</v>
      </c>
      <c r="K94" s="667" t="s">
        <v>1150</v>
      </c>
      <c r="L94" s="61" t="s">
        <v>40</v>
      </c>
      <c r="M94" s="123" t="s">
        <v>33</v>
      </c>
      <c r="N94" s="52">
        <v>439.31200000000001</v>
      </c>
      <c r="O94" s="373">
        <v>428.358</v>
      </c>
      <c r="P94" s="99">
        <v>298.31400000000002</v>
      </c>
      <c r="Q94" s="99">
        <v>298.31400000000002</v>
      </c>
      <c r="R94" s="99">
        <v>298.31400000000002</v>
      </c>
    </row>
    <row r="95" spans="1:18" s="94" customFormat="1" ht="42" customHeight="1">
      <c r="A95" s="891" t="s">
        <v>1117</v>
      </c>
      <c r="B95" s="552" t="s">
        <v>718</v>
      </c>
      <c r="C95" s="716"/>
      <c r="D95" s="716"/>
      <c r="E95" s="716"/>
      <c r="F95" s="792" t="s">
        <v>1085</v>
      </c>
      <c r="G95" s="788" t="s">
        <v>1086</v>
      </c>
      <c r="H95" s="792" t="s">
        <v>810</v>
      </c>
      <c r="I95" s="799" t="s">
        <v>1005</v>
      </c>
      <c r="J95" s="799" t="s">
        <v>64</v>
      </c>
      <c r="K95" s="789" t="s">
        <v>1381</v>
      </c>
      <c r="L95" s="553" t="s">
        <v>40</v>
      </c>
      <c r="M95" s="553" t="s">
        <v>33</v>
      </c>
      <c r="N95" s="87">
        <v>465.40100000000001</v>
      </c>
      <c r="O95" s="91">
        <v>465.40100000000001</v>
      </c>
      <c r="P95" s="91">
        <v>0</v>
      </c>
      <c r="Q95" s="91">
        <v>0</v>
      </c>
      <c r="R95" s="91">
        <v>0</v>
      </c>
    </row>
    <row r="96" spans="1:18" s="94" customFormat="1" ht="44.25" customHeight="1">
      <c r="A96" s="891"/>
      <c r="B96" s="552" t="s">
        <v>715</v>
      </c>
      <c r="C96" s="716"/>
      <c r="D96" s="716"/>
      <c r="E96" s="716"/>
      <c r="F96" s="792"/>
      <c r="G96" s="788"/>
      <c r="H96" s="792"/>
      <c r="I96" s="799"/>
      <c r="J96" s="799"/>
      <c r="K96" s="789"/>
      <c r="L96" s="553" t="s">
        <v>40</v>
      </c>
      <c r="M96" s="553" t="s">
        <v>33</v>
      </c>
      <c r="N96" s="87">
        <v>14.394</v>
      </c>
      <c r="O96" s="91">
        <v>14.394</v>
      </c>
      <c r="P96" s="91">
        <v>0</v>
      </c>
      <c r="Q96" s="91">
        <v>0</v>
      </c>
      <c r="R96" s="91">
        <v>0</v>
      </c>
    </row>
    <row r="97" spans="1:18" s="94" customFormat="1" ht="47.25" customHeight="1">
      <c r="A97" s="891" t="s">
        <v>918</v>
      </c>
      <c r="B97" s="552" t="s">
        <v>716</v>
      </c>
      <c r="C97" s="716"/>
      <c r="D97" s="716"/>
      <c r="E97" s="716"/>
      <c r="F97" s="792" t="s">
        <v>1085</v>
      </c>
      <c r="G97" s="788" t="s">
        <v>1087</v>
      </c>
      <c r="H97" s="792" t="s">
        <v>810</v>
      </c>
      <c r="I97" s="799" t="s">
        <v>917</v>
      </c>
      <c r="J97" s="799" t="s">
        <v>64</v>
      </c>
      <c r="K97" s="789" t="s">
        <v>1382</v>
      </c>
      <c r="L97" s="553" t="s">
        <v>40</v>
      </c>
      <c r="M97" s="553" t="s">
        <v>33</v>
      </c>
      <c r="N97" s="52">
        <v>730.44200000000001</v>
      </c>
      <c r="O97" s="373">
        <v>730.44200000000001</v>
      </c>
      <c r="P97" s="99">
        <v>0</v>
      </c>
      <c r="Q97" s="99">
        <v>0</v>
      </c>
      <c r="R97" s="99">
        <v>0</v>
      </c>
    </row>
    <row r="98" spans="1:18" s="94" customFormat="1" ht="37.5" customHeight="1">
      <c r="A98" s="891"/>
      <c r="B98" s="552" t="s">
        <v>717</v>
      </c>
      <c r="C98" s="716"/>
      <c r="D98" s="716"/>
      <c r="E98" s="716"/>
      <c r="F98" s="792"/>
      <c r="G98" s="788"/>
      <c r="H98" s="792"/>
      <c r="I98" s="799"/>
      <c r="J98" s="799"/>
      <c r="K98" s="789"/>
      <c r="L98" s="553" t="s">
        <v>40</v>
      </c>
      <c r="M98" s="553" t="s">
        <v>33</v>
      </c>
      <c r="N98" s="87">
        <v>22.591000000000001</v>
      </c>
      <c r="O98" s="91">
        <v>22.591000000000001</v>
      </c>
      <c r="P98" s="91">
        <v>0</v>
      </c>
      <c r="Q98" s="91">
        <v>0</v>
      </c>
      <c r="R98" s="91">
        <v>0</v>
      </c>
    </row>
    <row r="99" spans="1:18" s="94" customFormat="1" ht="192" customHeight="1">
      <c r="A99" s="721" t="s">
        <v>874</v>
      </c>
      <c r="B99" s="552" t="s">
        <v>837</v>
      </c>
      <c r="C99" s="716"/>
      <c r="D99" s="716"/>
      <c r="E99" s="716"/>
      <c r="F99" s="716" t="s">
        <v>1089</v>
      </c>
      <c r="G99" s="667" t="s">
        <v>66</v>
      </c>
      <c r="H99" s="716" t="s">
        <v>1090</v>
      </c>
      <c r="I99" s="716" t="s">
        <v>1526</v>
      </c>
      <c r="J99" s="716" t="s">
        <v>64</v>
      </c>
      <c r="K99" s="667" t="s">
        <v>1119</v>
      </c>
      <c r="L99" s="550" t="s">
        <v>40</v>
      </c>
      <c r="M99" s="550" t="s">
        <v>33</v>
      </c>
      <c r="N99" s="87">
        <v>21383.544000000002</v>
      </c>
      <c r="O99" s="91">
        <v>21311.052</v>
      </c>
      <c r="P99" s="91">
        <v>21461.119999999999</v>
      </c>
      <c r="Q99" s="91">
        <v>21461.119999999999</v>
      </c>
      <c r="R99" s="91">
        <v>21461.120999999999</v>
      </c>
    </row>
    <row r="100" spans="1:18" s="94" customFormat="1" ht="95.25" customHeight="1">
      <c r="A100" s="661" t="s">
        <v>1314</v>
      </c>
      <c r="B100" s="451" t="s">
        <v>1312</v>
      </c>
      <c r="C100" s="674"/>
      <c r="D100" s="674"/>
      <c r="E100" s="674"/>
      <c r="F100" s="796" t="s">
        <v>1085</v>
      </c>
      <c r="G100" s="675" t="s">
        <v>1321</v>
      </c>
      <c r="H100" s="674" t="s">
        <v>1322</v>
      </c>
      <c r="I100" s="790" t="s">
        <v>1530</v>
      </c>
      <c r="J100" s="790" t="s">
        <v>64</v>
      </c>
      <c r="K100" s="790" t="s">
        <v>1320</v>
      </c>
      <c r="L100" s="451" t="s">
        <v>40</v>
      </c>
      <c r="M100" s="452" t="s">
        <v>33</v>
      </c>
      <c r="N100" s="482">
        <v>664.63300000000004</v>
      </c>
      <c r="O100" s="450">
        <v>664.63300000000004</v>
      </c>
      <c r="P100" s="450">
        <v>1993.8979999999999</v>
      </c>
      <c r="Q100" s="450">
        <v>1993.8979999999999</v>
      </c>
      <c r="R100" s="450">
        <v>1993.8979999999999</v>
      </c>
    </row>
    <row r="101" spans="1:18" s="94" customFormat="1" ht="97.5" customHeight="1">
      <c r="A101" s="661" t="s">
        <v>1315</v>
      </c>
      <c r="B101" s="451" t="s">
        <v>1313</v>
      </c>
      <c r="C101" s="674"/>
      <c r="D101" s="674"/>
      <c r="E101" s="674"/>
      <c r="F101" s="796"/>
      <c r="G101" s="675"/>
      <c r="H101" s="674"/>
      <c r="I101" s="790"/>
      <c r="J101" s="790"/>
      <c r="K101" s="790"/>
      <c r="L101" s="451" t="s">
        <v>40</v>
      </c>
      <c r="M101" s="452" t="s">
        <v>33</v>
      </c>
      <c r="N101" s="482">
        <v>20.558</v>
      </c>
      <c r="O101" s="450">
        <v>20.558</v>
      </c>
      <c r="P101" s="450">
        <v>61.667000000000002</v>
      </c>
      <c r="Q101" s="450">
        <v>61.667000000000002</v>
      </c>
      <c r="R101" s="450">
        <v>61.667000000000002</v>
      </c>
    </row>
    <row r="102" spans="1:18" s="94" customFormat="1" ht="120.75" customHeight="1">
      <c r="A102" s="661" t="s">
        <v>1405</v>
      </c>
      <c r="B102" s="451" t="s">
        <v>1118</v>
      </c>
      <c r="C102" s="674"/>
      <c r="D102" s="674"/>
      <c r="E102" s="674"/>
      <c r="F102" s="674" t="s">
        <v>1085</v>
      </c>
      <c r="G102" s="675" t="s">
        <v>1458</v>
      </c>
      <c r="H102" s="674" t="s">
        <v>1322</v>
      </c>
      <c r="I102" s="668" t="s">
        <v>1199</v>
      </c>
      <c r="J102" s="668" t="s">
        <v>64</v>
      </c>
      <c r="K102" s="668" t="s">
        <v>1180</v>
      </c>
      <c r="L102" s="620" t="s">
        <v>40</v>
      </c>
      <c r="M102" s="621" t="s">
        <v>33</v>
      </c>
      <c r="N102" s="622">
        <v>127327.4</v>
      </c>
      <c r="O102" s="623">
        <v>57703.042000000001</v>
      </c>
      <c r="P102" s="623">
        <v>88780.5</v>
      </c>
      <c r="Q102" s="623">
        <v>0</v>
      </c>
      <c r="R102" s="623">
        <v>0</v>
      </c>
    </row>
    <row r="103" spans="1:18" s="94" customFormat="1" ht="191.25" customHeight="1">
      <c r="A103" s="722" t="s">
        <v>1406</v>
      </c>
      <c r="B103" s="435" t="s">
        <v>1387</v>
      </c>
      <c r="C103" s="670"/>
      <c r="D103" s="670"/>
      <c r="E103" s="670"/>
      <c r="F103" s="716" t="s">
        <v>1085</v>
      </c>
      <c r="G103" s="667" t="s">
        <v>1088</v>
      </c>
      <c r="H103" s="716" t="s">
        <v>810</v>
      </c>
      <c r="I103" s="668" t="s">
        <v>1535</v>
      </c>
      <c r="J103" s="668" t="s">
        <v>64</v>
      </c>
      <c r="K103" s="668" t="s">
        <v>1448</v>
      </c>
      <c r="L103" s="435" t="s">
        <v>40</v>
      </c>
      <c r="M103" s="435" t="s">
        <v>33</v>
      </c>
      <c r="N103" s="369">
        <v>0</v>
      </c>
      <c r="O103" s="372">
        <v>0</v>
      </c>
      <c r="P103" s="372">
        <v>9077.35</v>
      </c>
      <c r="Q103" s="372">
        <v>9111.1039999999994</v>
      </c>
      <c r="R103" s="372">
        <v>9073.2039999999997</v>
      </c>
    </row>
    <row r="104" spans="1:18" s="94" customFormat="1" ht="48">
      <c r="A104" s="722" t="s">
        <v>1397</v>
      </c>
      <c r="B104" s="435" t="s">
        <v>1389</v>
      </c>
      <c r="C104" s="670"/>
      <c r="D104" s="670"/>
      <c r="E104" s="670"/>
      <c r="F104" s="796" t="s">
        <v>1085</v>
      </c>
      <c r="G104" s="675" t="s">
        <v>1451</v>
      </c>
      <c r="H104" s="798" t="s">
        <v>1322</v>
      </c>
      <c r="I104" s="719" t="s">
        <v>1181</v>
      </c>
      <c r="J104" s="662"/>
      <c r="K104" s="662"/>
      <c r="L104" s="435" t="s">
        <v>40</v>
      </c>
      <c r="M104" s="435" t="s">
        <v>33</v>
      </c>
      <c r="N104" s="369">
        <v>0</v>
      </c>
      <c r="O104" s="372">
        <v>0</v>
      </c>
      <c r="P104" s="372">
        <v>12274.4</v>
      </c>
      <c r="Q104" s="372">
        <v>0</v>
      </c>
      <c r="R104" s="372">
        <v>0</v>
      </c>
    </row>
    <row r="105" spans="1:18" s="94" customFormat="1" ht="36.75" customHeight="1">
      <c r="A105" s="722" t="s">
        <v>1407</v>
      </c>
      <c r="B105" s="435" t="s">
        <v>1390</v>
      </c>
      <c r="C105" s="670"/>
      <c r="D105" s="670"/>
      <c r="E105" s="670"/>
      <c r="F105" s="796"/>
      <c r="G105" s="675" t="s">
        <v>1452</v>
      </c>
      <c r="H105" s="798"/>
      <c r="I105" s="719" t="s">
        <v>1181</v>
      </c>
      <c r="J105" s="662"/>
      <c r="K105" s="662"/>
      <c r="L105" s="435" t="s">
        <v>40</v>
      </c>
      <c r="M105" s="435" t="s">
        <v>33</v>
      </c>
      <c r="N105" s="369">
        <v>0</v>
      </c>
      <c r="O105" s="372">
        <v>0</v>
      </c>
      <c r="P105" s="372">
        <v>5500</v>
      </c>
      <c r="Q105" s="372">
        <v>0</v>
      </c>
      <c r="R105" s="372">
        <v>0</v>
      </c>
    </row>
    <row r="106" spans="1:18" s="94" customFormat="1" ht="44.25" customHeight="1">
      <c r="A106" s="892" t="s">
        <v>1408</v>
      </c>
      <c r="B106" s="435" t="s">
        <v>1391</v>
      </c>
      <c r="C106" s="670"/>
      <c r="D106" s="670"/>
      <c r="E106" s="670"/>
      <c r="F106" s="796" t="s">
        <v>1085</v>
      </c>
      <c r="G106" s="797" t="s">
        <v>1450</v>
      </c>
      <c r="H106" s="796" t="s">
        <v>1322</v>
      </c>
      <c r="I106" s="781" t="s">
        <v>1524</v>
      </c>
      <c r="J106" s="781" t="s">
        <v>64</v>
      </c>
      <c r="K106" s="781" t="s">
        <v>1523</v>
      </c>
      <c r="L106" s="435" t="s">
        <v>40</v>
      </c>
      <c r="M106" s="435" t="s">
        <v>33</v>
      </c>
      <c r="N106" s="369">
        <v>0</v>
      </c>
      <c r="O106" s="372">
        <v>0</v>
      </c>
      <c r="P106" s="372">
        <v>1105.116</v>
      </c>
      <c r="Q106" s="372">
        <v>1049.1310000000001</v>
      </c>
      <c r="R106" s="372">
        <v>0</v>
      </c>
    </row>
    <row r="107" spans="1:18" s="94" customFormat="1" ht="44.25" customHeight="1">
      <c r="A107" s="892"/>
      <c r="B107" s="435" t="s">
        <v>1392</v>
      </c>
      <c r="C107" s="670"/>
      <c r="D107" s="670"/>
      <c r="E107" s="670"/>
      <c r="F107" s="796"/>
      <c r="G107" s="797"/>
      <c r="H107" s="796"/>
      <c r="I107" s="781"/>
      <c r="J107" s="781"/>
      <c r="K107" s="781"/>
      <c r="L107" s="435" t="s">
        <v>40</v>
      </c>
      <c r="M107" s="435" t="s">
        <v>33</v>
      </c>
      <c r="N107" s="369">
        <v>0</v>
      </c>
      <c r="O107" s="372">
        <v>0</v>
      </c>
      <c r="P107" s="372">
        <v>34.179000000000002</v>
      </c>
      <c r="Q107" s="372">
        <v>32.448</v>
      </c>
      <c r="R107" s="372">
        <v>0</v>
      </c>
    </row>
    <row r="108" spans="1:18" s="94" customFormat="1" ht="48" customHeight="1">
      <c r="A108" s="892" t="s">
        <v>1409</v>
      </c>
      <c r="B108" s="435" t="s">
        <v>1393</v>
      </c>
      <c r="C108" s="670"/>
      <c r="D108" s="670"/>
      <c r="E108" s="670"/>
      <c r="F108" s="796" t="s">
        <v>1085</v>
      </c>
      <c r="G108" s="797" t="s">
        <v>1459</v>
      </c>
      <c r="H108" s="796" t="s">
        <v>1322</v>
      </c>
      <c r="I108" s="781" t="s">
        <v>1429</v>
      </c>
      <c r="J108" s="781" t="s">
        <v>64</v>
      </c>
      <c r="K108" s="781" t="s">
        <v>1430</v>
      </c>
      <c r="L108" s="435" t="s">
        <v>40</v>
      </c>
      <c r="M108" s="435" t="s">
        <v>33</v>
      </c>
      <c r="N108" s="369">
        <v>0</v>
      </c>
      <c r="O108" s="372">
        <v>0</v>
      </c>
      <c r="P108" s="372">
        <v>9093.9</v>
      </c>
      <c r="Q108" s="372">
        <v>0</v>
      </c>
      <c r="R108" s="372">
        <v>0</v>
      </c>
    </row>
    <row r="109" spans="1:18" s="94" customFormat="1" ht="48" customHeight="1">
      <c r="A109" s="892"/>
      <c r="B109" s="435" t="s">
        <v>1394</v>
      </c>
      <c r="C109" s="670"/>
      <c r="D109" s="670"/>
      <c r="E109" s="670"/>
      <c r="F109" s="796"/>
      <c r="G109" s="797"/>
      <c r="H109" s="796"/>
      <c r="I109" s="781"/>
      <c r="J109" s="781"/>
      <c r="K109" s="781"/>
      <c r="L109" s="435" t="s">
        <v>40</v>
      </c>
      <c r="M109" s="435" t="s">
        <v>33</v>
      </c>
      <c r="N109" s="369">
        <v>0</v>
      </c>
      <c r="O109" s="372">
        <v>0</v>
      </c>
      <c r="P109" s="372">
        <v>281.255</v>
      </c>
      <c r="Q109" s="372">
        <v>0</v>
      </c>
      <c r="R109" s="372">
        <v>0</v>
      </c>
    </row>
    <row r="110" spans="1:18" s="94" customFormat="1" ht="41.25" customHeight="1">
      <c r="A110" s="892" t="s">
        <v>1410</v>
      </c>
      <c r="B110" s="435" t="s">
        <v>1395</v>
      </c>
      <c r="C110" s="670"/>
      <c r="D110" s="670"/>
      <c r="E110" s="670"/>
      <c r="F110" s="796" t="s">
        <v>1085</v>
      </c>
      <c r="G110" s="797" t="s">
        <v>1457</v>
      </c>
      <c r="H110" s="796" t="s">
        <v>1322</v>
      </c>
      <c r="I110" s="781" t="s">
        <v>1522</v>
      </c>
      <c r="J110" s="781" t="s">
        <v>64</v>
      </c>
      <c r="K110" s="781" t="s">
        <v>1523</v>
      </c>
      <c r="L110" s="435" t="s">
        <v>40</v>
      </c>
      <c r="M110" s="435" t="s">
        <v>33</v>
      </c>
      <c r="N110" s="369">
        <v>0</v>
      </c>
      <c r="O110" s="372">
        <v>0</v>
      </c>
      <c r="P110" s="372">
        <v>1550.4839999999999</v>
      </c>
      <c r="Q110" s="372">
        <v>0</v>
      </c>
      <c r="R110" s="372">
        <v>0</v>
      </c>
    </row>
    <row r="111" spans="1:18" s="94" customFormat="1" ht="41.25" customHeight="1">
      <c r="A111" s="892"/>
      <c r="B111" s="435" t="s">
        <v>1396</v>
      </c>
      <c r="C111" s="670"/>
      <c r="D111" s="670"/>
      <c r="E111" s="670"/>
      <c r="F111" s="796"/>
      <c r="G111" s="797"/>
      <c r="H111" s="796"/>
      <c r="I111" s="781"/>
      <c r="J111" s="781"/>
      <c r="K111" s="781"/>
      <c r="L111" s="435" t="s">
        <v>40</v>
      </c>
      <c r="M111" s="435" t="s">
        <v>33</v>
      </c>
      <c r="N111" s="369">
        <v>0</v>
      </c>
      <c r="O111" s="372">
        <v>0</v>
      </c>
      <c r="P111" s="372">
        <v>47.953000000000003</v>
      </c>
      <c r="Q111" s="372">
        <v>0</v>
      </c>
      <c r="R111" s="372">
        <v>0</v>
      </c>
    </row>
    <row r="112" spans="1:18" s="94" customFormat="1" ht="84.75" customHeight="1">
      <c r="A112" s="661" t="s">
        <v>1508</v>
      </c>
      <c r="B112" s="451" t="s">
        <v>1478</v>
      </c>
      <c r="C112" s="674"/>
      <c r="D112" s="674"/>
      <c r="E112" s="674"/>
      <c r="F112" s="716" t="s">
        <v>1085</v>
      </c>
      <c r="G112" s="667" t="s">
        <v>1479</v>
      </c>
      <c r="H112" s="716" t="s">
        <v>810</v>
      </c>
      <c r="I112" s="668" t="s">
        <v>1490</v>
      </c>
      <c r="J112" s="668"/>
      <c r="K112" s="668"/>
      <c r="L112" s="451" t="s">
        <v>40</v>
      </c>
      <c r="M112" s="451" t="s">
        <v>33</v>
      </c>
      <c r="N112" s="482">
        <v>0</v>
      </c>
      <c r="O112" s="450">
        <v>0</v>
      </c>
      <c r="P112" s="450">
        <v>3720</v>
      </c>
      <c r="Q112" s="450">
        <v>0</v>
      </c>
      <c r="R112" s="450">
        <v>0</v>
      </c>
    </row>
    <row r="113" spans="1:18" s="94" customFormat="1" ht="120">
      <c r="A113" s="661" t="s">
        <v>1509</v>
      </c>
      <c r="B113" s="451" t="s">
        <v>1510</v>
      </c>
      <c r="C113" s="674"/>
      <c r="D113" s="674"/>
      <c r="E113" s="674"/>
      <c r="F113" s="674"/>
      <c r="G113" s="675"/>
      <c r="H113" s="674"/>
      <c r="I113" s="668" t="s">
        <v>1199</v>
      </c>
      <c r="J113" s="668" t="s">
        <v>64</v>
      </c>
      <c r="K113" s="668" t="s">
        <v>1180</v>
      </c>
      <c r="L113" s="451" t="s">
        <v>40</v>
      </c>
      <c r="M113" s="451" t="s">
        <v>33</v>
      </c>
      <c r="N113" s="482">
        <v>0</v>
      </c>
      <c r="O113" s="450">
        <v>0</v>
      </c>
      <c r="P113" s="450">
        <v>69624.357999999993</v>
      </c>
      <c r="Q113" s="450">
        <v>0</v>
      </c>
      <c r="R113" s="450">
        <v>0</v>
      </c>
    </row>
    <row r="114" spans="1:18" s="94" customFormat="1" ht="60.75" customHeight="1">
      <c r="A114" s="481" t="s">
        <v>1511</v>
      </c>
      <c r="B114" s="451"/>
      <c r="C114" s="674" t="s">
        <v>326</v>
      </c>
      <c r="D114" s="674" t="s">
        <v>294</v>
      </c>
      <c r="E114" s="674" t="s">
        <v>57</v>
      </c>
      <c r="F114" s="674" t="s">
        <v>324</v>
      </c>
      <c r="G114" s="674" t="s">
        <v>295</v>
      </c>
      <c r="H114" s="674" t="s">
        <v>204</v>
      </c>
      <c r="I114" s="416" t="s">
        <v>1521</v>
      </c>
      <c r="J114" s="416" t="s">
        <v>64</v>
      </c>
      <c r="K114" s="416" t="s">
        <v>1035</v>
      </c>
      <c r="L114" s="435" t="s">
        <v>40</v>
      </c>
      <c r="M114" s="435" t="s">
        <v>33</v>
      </c>
      <c r="N114" s="369">
        <v>1678.367</v>
      </c>
      <c r="O114" s="372">
        <v>1678.367</v>
      </c>
      <c r="P114" s="372">
        <v>463</v>
      </c>
      <c r="Q114" s="372">
        <v>0</v>
      </c>
      <c r="R114" s="372">
        <v>0</v>
      </c>
    </row>
    <row r="115" spans="1:18" s="94" customFormat="1" ht="60" customHeight="1">
      <c r="A115" s="44" t="s">
        <v>1512</v>
      </c>
      <c r="B115" s="552"/>
      <c r="C115" s="716" t="s">
        <v>326</v>
      </c>
      <c r="D115" s="716" t="s">
        <v>294</v>
      </c>
      <c r="E115" s="716" t="s">
        <v>57</v>
      </c>
      <c r="F115" s="716" t="s">
        <v>324</v>
      </c>
      <c r="G115" s="716" t="s">
        <v>295</v>
      </c>
      <c r="H115" s="716" t="s">
        <v>204</v>
      </c>
      <c r="I115" s="716" t="s">
        <v>723</v>
      </c>
      <c r="J115" s="716" t="s">
        <v>64</v>
      </c>
      <c r="K115" s="667" t="s">
        <v>398</v>
      </c>
      <c r="L115" s="59" t="s">
        <v>40</v>
      </c>
      <c r="M115" s="122" t="s">
        <v>33</v>
      </c>
      <c r="N115" s="52">
        <f>115.329+29905.744+19.766</f>
        <v>30040.839</v>
      </c>
      <c r="O115" s="373">
        <f>115.329+13552.876+19.766</f>
        <v>13687.971</v>
      </c>
      <c r="P115" s="99">
        <f>12.287+5500+2480+269.101+16334.939+16352.868+2335.006</f>
        <v>43284.201000000001</v>
      </c>
      <c r="Q115" s="99">
        <v>0</v>
      </c>
      <c r="R115" s="99">
        <v>0</v>
      </c>
    </row>
    <row r="116" spans="1:18" s="94" customFormat="1" ht="48" customHeight="1">
      <c r="A116" s="44"/>
      <c r="B116" s="552"/>
      <c r="C116" s="716"/>
      <c r="D116" s="716"/>
      <c r="E116" s="716"/>
      <c r="F116" s="716"/>
      <c r="G116" s="716"/>
      <c r="H116" s="716"/>
      <c r="I116" s="716" t="s">
        <v>1008</v>
      </c>
      <c r="J116" s="716" t="s">
        <v>64</v>
      </c>
      <c r="K116" s="667" t="s">
        <v>508</v>
      </c>
      <c r="L116" s="552"/>
      <c r="M116" s="121"/>
      <c r="N116" s="37"/>
      <c r="O116" s="372"/>
      <c r="P116" s="73"/>
      <c r="Q116" s="73"/>
      <c r="R116" s="73"/>
    </row>
    <row r="117" spans="1:18" s="94" customFormat="1" ht="75" customHeight="1">
      <c r="A117" s="44"/>
      <c r="B117" s="552"/>
      <c r="C117" s="716"/>
      <c r="D117" s="716"/>
      <c r="E117" s="716"/>
      <c r="F117" s="716"/>
      <c r="G117" s="716"/>
      <c r="H117" s="716"/>
      <c r="I117" s="716" t="s">
        <v>1009</v>
      </c>
      <c r="J117" s="716" t="s">
        <v>64</v>
      </c>
      <c r="K117" s="667" t="s">
        <v>407</v>
      </c>
      <c r="L117" s="552"/>
      <c r="M117" s="121"/>
      <c r="N117" s="37"/>
      <c r="O117" s="372"/>
      <c r="P117" s="73"/>
      <c r="Q117" s="73"/>
      <c r="R117" s="73"/>
    </row>
    <row r="118" spans="1:18" s="94" customFormat="1" ht="61.5" customHeight="1">
      <c r="A118" s="44"/>
      <c r="B118" s="552"/>
      <c r="C118" s="719"/>
      <c r="D118" s="719"/>
      <c r="E118" s="719"/>
      <c r="F118" s="719"/>
      <c r="G118" s="719"/>
      <c r="H118" s="719"/>
      <c r="I118" s="716" t="s">
        <v>1525</v>
      </c>
      <c r="J118" s="716" t="s">
        <v>64</v>
      </c>
      <c r="K118" s="716" t="s">
        <v>1035</v>
      </c>
      <c r="L118" s="60"/>
      <c r="M118" s="118"/>
      <c r="N118" s="37"/>
      <c r="O118" s="372"/>
      <c r="P118" s="73"/>
      <c r="Q118" s="73"/>
      <c r="R118" s="73"/>
    </row>
    <row r="119" spans="1:18" s="94" customFormat="1" ht="26.25" customHeight="1">
      <c r="A119" s="353" t="s">
        <v>1513</v>
      </c>
      <c r="B119" s="707"/>
      <c r="C119" s="681"/>
      <c r="D119" s="681"/>
      <c r="E119" s="681"/>
      <c r="F119" s="727"/>
      <c r="G119" s="681"/>
      <c r="H119" s="681"/>
      <c r="I119" s="681"/>
      <c r="J119" s="681"/>
      <c r="K119" s="681"/>
      <c r="L119" s="113"/>
      <c r="M119" s="553"/>
      <c r="N119" s="87"/>
      <c r="O119" s="91"/>
      <c r="P119" s="91"/>
      <c r="Q119" s="91"/>
      <c r="R119" s="91"/>
    </row>
    <row r="120" spans="1:18" s="94" customFormat="1" ht="133.5" customHeight="1">
      <c r="A120" s="475"/>
      <c r="B120" s="413" t="s">
        <v>432</v>
      </c>
      <c r="C120" s="736"/>
      <c r="D120" s="736"/>
      <c r="E120" s="736"/>
      <c r="F120" s="950" t="s">
        <v>461</v>
      </c>
      <c r="G120" s="920" t="s">
        <v>695</v>
      </c>
      <c r="H120" s="920" t="s">
        <v>462</v>
      </c>
      <c r="I120" s="736" t="s">
        <v>1194</v>
      </c>
      <c r="J120" s="736" t="s">
        <v>64</v>
      </c>
      <c r="K120" s="736" t="s">
        <v>1195</v>
      </c>
      <c r="L120" s="476" t="s">
        <v>40</v>
      </c>
      <c r="M120" s="476" t="s">
        <v>33</v>
      </c>
      <c r="N120" s="563">
        <v>279.38400000000001</v>
      </c>
      <c r="O120" s="477">
        <v>279.38400000000001</v>
      </c>
      <c r="P120" s="477">
        <v>0</v>
      </c>
      <c r="Q120" s="477">
        <v>0</v>
      </c>
      <c r="R120" s="477">
        <v>0</v>
      </c>
    </row>
    <row r="121" spans="1:18" s="94" customFormat="1" ht="108">
      <c r="A121" s="291"/>
      <c r="B121" s="707" t="s">
        <v>419</v>
      </c>
      <c r="C121" s="681"/>
      <c r="D121" s="681"/>
      <c r="E121" s="681"/>
      <c r="F121" s="950"/>
      <c r="G121" s="920"/>
      <c r="H121" s="920"/>
      <c r="I121" s="681" t="s">
        <v>1494</v>
      </c>
      <c r="J121" s="681" t="s">
        <v>64</v>
      </c>
      <c r="K121" s="681" t="s">
        <v>1495</v>
      </c>
      <c r="L121" s="650" t="s">
        <v>40</v>
      </c>
      <c r="M121" s="325" t="s">
        <v>33</v>
      </c>
      <c r="N121" s="564">
        <v>0</v>
      </c>
      <c r="O121" s="326">
        <v>0</v>
      </c>
      <c r="P121" s="326">
        <v>38.56</v>
      </c>
      <c r="Q121" s="326">
        <v>0</v>
      </c>
      <c r="R121" s="326">
        <v>0</v>
      </c>
    </row>
    <row r="122" spans="1:18" s="94" customFormat="1" ht="99" hidden="1" customHeight="1">
      <c r="A122" s="291"/>
      <c r="B122" s="707" t="s">
        <v>993</v>
      </c>
      <c r="C122" s="681"/>
      <c r="D122" s="681"/>
      <c r="E122" s="681"/>
      <c r="F122" s="950"/>
      <c r="G122" s="920"/>
      <c r="H122" s="920"/>
      <c r="I122" s="681" t="s">
        <v>996</v>
      </c>
      <c r="J122" s="681" t="s">
        <v>64</v>
      </c>
      <c r="K122" s="681" t="s">
        <v>997</v>
      </c>
      <c r="L122" s="355" t="s">
        <v>40</v>
      </c>
      <c r="M122" s="346" t="s">
        <v>33</v>
      </c>
      <c r="N122" s="565"/>
      <c r="O122" s="360"/>
      <c r="P122" s="347"/>
      <c r="Q122" s="347"/>
      <c r="R122" s="347"/>
    </row>
    <row r="123" spans="1:18" s="94" customFormat="1" ht="100.5" hidden="1" customHeight="1">
      <c r="A123" s="354"/>
      <c r="B123" s="352" t="s">
        <v>1028</v>
      </c>
      <c r="C123" s="738"/>
      <c r="D123" s="738"/>
      <c r="E123" s="738"/>
      <c r="F123" s="359"/>
      <c r="G123" s="738"/>
      <c r="H123" s="738"/>
      <c r="I123" s="681" t="s">
        <v>1091</v>
      </c>
      <c r="J123" s="738" t="s">
        <v>64</v>
      </c>
      <c r="K123" s="738" t="s">
        <v>1033</v>
      </c>
      <c r="L123" s="355" t="s">
        <v>40</v>
      </c>
      <c r="M123" s="352" t="s">
        <v>33</v>
      </c>
      <c r="N123" s="358"/>
      <c r="O123" s="360"/>
      <c r="P123" s="360"/>
      <c r="Q123" s="360"/>
      <c r="R123" s="360"/>
    </row>
    <row r="124" spans="1:18" s="94" customFormat="1" ht="97.5" customHeight="1">
      <c r="A124" s="161" t="s">
        <v>958</v>
      </c>
      <c r="B124" s="137" t="s">
        <v>517</v>
      </c>
      <c r="C124" s="162"/>
      <c r="D124" s="162"/>
      <c r="E124" s="162"/>
      <c r="F124" s="162"/>
      <c r="G124" s="162"/>
      <c r="H124" s="163"/>
      <c r="I124" s="162"/>
      <c r="J124" s="162"/>
      <c r="K124" s="163"/>
      <c r="L124" s="58"/>
      <c r="M124" s="58"/>
      <c r="N124" s="78">
        <f>SUM(N125:N139)</f>
        <v>93387.481</v>
      </c>
      <c r="O124" s="78">
        <f t="shared" ref="O124:R124" si="13">SUM(O125:O139)</f>
        <v>93373.880999999994</v>
      </c>
      <c r="P124" s="78">
        <f t="shared" si="13"/>
        <v>98332.802000000011</v>
      </c>
      <c r="Q124" s="78">
        <f t="shared" si="13"/>
        <v>48881.799999999996</v>
      </c>
      <c r="R124" s="78">
        <f t="shared" si="13"/>
        <v>49242.400000000001</v>
      </c>
    </row>
    <row r="125" spans="1:18" s="94" customFormat="1" ht="58.5" customHeight="1">
      <c r="A125" s="891" t="s">
        <v>684</v>
      </c>
      <c r="B125" s="889"/>
      <c r="C125" s="716" t="s">
        <v>326</v>
      </c>
      <c r="D125" s="716" t="s">
        <v>321</v>
      </c>
      <c r="E125" s="716" t="s">
        <v>126</v>
      </c>
      <c r="F125" s="799" t="s">
        <v>324</v>
      </c>
      <c r="G125" s="799" t="s">
        <v>301</v>
      </c>
      <c r="H125" s="799" t="s">
        <v>204</v>
      </c>
      <c r="I125" s="716" t="s">
        <v>323</v>
      </c>
      <c r="J125" s="716" t="s">
        <v>64</v>
      </c>
      <c r="K125" s="667" t="s">
        <v>57</v>
      </c>
      <c r="L125" s="448" t="s">
        <v>40</v>
      </c>
      <c r="M125" s="448" t="s">
        <v>38</v>
      </c>
      <c r="N125" s="566">
        <f>65385.02+482.993</f>
        <v>65868.012999999992</v>
      </c>
      <c r="O125" s="449">
        <f>65385.02+482.993</f>
        <v>65868.012999999992</v>
      </c>
      <c r="P125" s="449">
        <f>64677.3+2932.2</f>
        <v>67609.5</v>
      </c>
      <c r="Q125" s="449">
        <v>42026</v>
      </c>
      <c r="R125" s="449">
        <v>42684.9</v>
      </c>
    </row>
    <row r="126" spans="1:18" s="94" customFormat="1" ht="49.5" customHeight="1">
      <c r="A126" s="891"/>
      <c r="B126" s="889"/>
      <c r="C126" s="716" t="s">
        <v>325</v>
      </c>
      <c r="D126" s="716" t="s">
        <v>322</v>
      </c>
      <c r="E126" s="716" t="s">
        <v>204</v>
      </c>
      <c r="F126" s="799"/>
      <c r="G126" s="799"/>
      <c r="H126" s="799"/>
      <c r="I126" s="716" t="s">
        <v>83</v>
      </c>
      <c r="J126" s="716" t="s">
        <v>64</v>
      </c>
      <c r="K126" s="667" t="s">
        <v>306</v>
      </c>
      <c r="L126" s="435"/>
      <c r="M126" s="435"/>
      <c r="N126" s="369"/>
      <c r="O126" s="372"/>
      <c r="P126" s="372"/>
      <c r="Q126" s="372"/>
      <c r="R126" s="372"/>
    </row>
    <row r="127" spans="1:18" s="94" customFormat="1" ht="84" customHeight="1">
      <c r="A127" s="722"/>
      <c r="B127" s="662"/>
      <c r="C127" s="670"/>
      <c r="D127" s="670"/>
      <c r="E127" s="670"/>
      <c r="F127" s="670"/>
      <c r="G127" s="670"/>
      <c r="H127" s="670"/>
      <c r="I127" s="670" t="s">
        <v>1125</v>
      </c>
      <c r="J127" s="670" t="s">
        <v>64</v>
      </c>
      <c r="K127" s="666" t="s">
        <v>1126</v>
      </c>
      <c r="L127" s="551"/>
      <c r="M127" s="769"/>
      <c r="N127" s="57"/>
      <c r="O127" s="89"/>
      <c r="P127" s="89"/>
      <c r="Q127" s="89"/>
      <c r="R127" s="89"/>
    </row>
    <row r="128" spans="1:18" s="94" customFormat="1" ht="146.25" customHeight="1">
      <c r="A128" s="44" t="s">
        <v>685</v>
      </c>
      <c r="B128" s="552" t="s">
        <v>307</v>
      </c>
      <c r="C128" s="719"/>
      <c r="D128" s="719"/>
      <c r="E128" s="719"/>
      <c r="F128" s="716" t="s">
        <v>772</v>
      </c>
      <c r="G128" s="716" t="s">
        <v>1093</v>
      </c>
      <c r="H128" s="716" t="s">
        <v>810</v>
      </c>
      <c r="I128" s="716" t="s">
        <v>1531</v>
      </c>
      <c r="J128" s="716" t="s">
        <v>64</v>
      </c>
      <c r="K128" s="667" t="s">
        <v>1151</v>
      </c>
      <c r="L128" s="168" t="s">
        <v>40</v>
      </c>
      <c r="M128" s="169" t="s">
        <v>38</v>
      </c>
      <c r="N128" s="282">
        <v>2173.1999999999998</v>
      </c>
      <c r="O128" s="376">
        <v>2159.6</v>
      </c>
      <c r="P128" s="283">
        <v>2219.6</v>
      </c>
      <c r="Q128" s="74">
        <v>2219.6</v>
      </c>
      <c r="R128" s="74">
        <v>2219.6</v>
      </c>
    </row>
    <row r="129" spans="1:18" s="94" customFormat="1" ht="102" customHeight="1">
      <c r="A129" s="891" t="s">
        <v>686</v>
      </c>
      <c r="B129" s="552" t="s">
        <v>308</v>
      </c>
      <c r="C129" s="889"/>
      <c r="D129" s="889"/>
      <c r="E129" s="889"/>
      <c r="F129" s="716" t="s">
        <v>772</v>
      </c>
      <c r="G129" s="716" t="s">
        <v>1092</v>
      </c>
      <c r="H129" s="716" t="s">
        <v>810</v>
      </c>
      <c r="I129" s="799" t="s">
        <v>1532</v>
      </c>
      <c r="J129" s="799" t="s">
        <v>64</v>
      </c>
      <c r="K129" s="789" t="s">
        <v>1151</v>
      </c>
      <c r="L129" s="59" t="s">
        <v>40</v>
      </c>
      <c r="M129" s="122" t="s">
        <v>38</v>
      </c>
      <c r="N129" s="52">
        <v>19672.099999999999</v>
      </c>
      <c r="O129" s="373">
        <v>19672.099999999999</v>
      </c>
      <c r="P129" s="99">
        <v>23580.5</v>
      </c>
      <c r="Q129" s="99">
        <v>0</v>
      </c>
      <c r="R129" s="99">
        <v>0</v>
      </c>
    </row>
    <row r="130" spans="1:18" s="94" customFormat="1" ht="104.25" customHeight="1">
      <c r="A130" s="891"/>
      <c r="B130" s="552"/>
      <c r="C130" s="889"/>
      <c r="D130" s="889"/>
      <c r="E130" s="889"/>
      <c r="F130" s="417"/>
      <c r="G130" s="428"/>
      <c r="H130" s="417"/>
      <c r="I130" s="799"/>
      <c r="J130" s="799"/>
      <c r="K130" s="789"/>
      <c r="L130" s="168"/>
      <c r="M130" s="169"/>
      <c r="N130" s="53"/>
      <c r="O130" s="376"/>
      <c r="P130" s="283"/>
      <c r="Q130" s="74"/>
      <c r="R130" s="74"/>
    </row>
    <row r="131" spans="1:18" s="94" customFormat="1" ht="62.25" customHeight="1">
      <c r="A131" s="44" t="s">
        <v>757</v>
      </c>
      <c r="B131" s="552"/>
      <c r="C131" s="716" t="s">
        <v>326</v>
      </c>
      <c r="D131" s="716" t="s">
        <v>294</v>
      </c>
      <c r="E131" s="716" t="s">
        <v>57</v>
      </c>
      <c r="F131" s="716" t="s">
        <v>324</v>
      </c>
      <c r="G131" s="716" t="s">
        <v>295</v>
      </c>
      <c r="H131" s="716" t="s">
        <v>204</v>
      </c>
      <c r="I131" s="727" t="s">
        <v>1521</v>
      </c>
      <c r="J131" s="727" t="s">
        <v>64</v>
      </c>
      <c r="K131" s="727" t="s">
        <v>1035</v>
      </c>
      <c r="L131" s="170" t="s">
        <v>40</v>
      </c>
      <c r="M131" s="123" t="s">
        <v>38</v>
      </c>
      <c r="N131" s="52">
        <v>1884.713</v>
      </c>
      <c r="O131" s="373">
        <v>1884.713</v>
      </c>
      <c r="P131" s="99">
        <v>492</v>
      </c>
      <c r="Q131" s="99">
        <v>0</v>
      </c>
      <c r="R131" s="99">
        <v>0</v>
      </c>
    </row>
    <row r="132" spans="1:18" s="94" customFormat="1" ht="60.75" customHeight="1">
      <c r="A132" s="44" t="s">
        <v>758</v>
      </c>
      <c r="B132" s="552"/>
      <c r="C132" s="792" t="s">
        <v>326</v>
      </c>
      <c r="D132" s="716" t="s">
        <v>294</v>
      </c>
      <c r="E132" s="716" t="s">
        <v>57</v>
      </c>
      <c r="F132" s="716" t="s">
        <v>324</v>
      </c>
      <c r="G132" s="716" t="s">
        <v>295</v>
      </c>
      <c r="H132" s="716" t="s">
        <v>204</v>
      </c>
      <c r="I132" s="716" t="s">
        <v>1525</v>
      </c>
      <c r="J132" s="716" t="s">
        <v>64</v>
      </c>
      <c r="K132" s="716" t="s">
        <v>1035</v>
      </c>
      <c r="L132" s="550" t="s">
        <v>40</v>
      </c>
      <c r="M132" s="550" t="s">
        <v>38</v>
      </c>
      <c r="N132" s="192">
        <f>3460.187+44.468</f>
        <v>3504.6549999999997</v>
      </c>
      <c r="O132" s="371">
        <f>3460.187+44.468</f>
        <v>3504.6549999999997</v>
      </c>
      <c r="P132" s="72">
        <f>4314.886+116.316</f>
        <v>4431.2020000000002</v>
      </c>
      <c r="Q132" s="72">
        <v>4422.8999999999996</v>
      </c>
      <c r="R132" s="72">
        <v>4337.8999999999996</v>
      </c>
    </row>
    <row r="133" spans="1:18" s="94" customFormat="1" ht="62.25" customHeight="1">
      <c r="A133" s="44"/>
      <c r="B133" s="552"/>
      <c r="C133" s="792"/>
      <c r="D133" s="716"/>
      <c r="E133" s="716"/>
      <c r="F133" s="716"/>
      <c r="G133" s="716"/>
      <c r="H133" s="716"/>
      <c r="I133" s="716" t="s">
        <v>723</v>
      </c>
      <c r="J133" s="716" t="s">
        <v>64</v>
      </c>
      <c r="K133" s="667" t="s">
        <v>398</v>
      </c>
      <c r="L133" s="552"/>
      <c r="M133" s="552"/>
      <c r="N133" s="37"/>
      <c r="O133" s="372"/>
      <c r="P133" s="73"/>
      <c r="Q133" s="73"/>
      <c r="R133" s="73"/>
    </row>
    <row r="134" spans="1:18" s="94" customFormat="1" ht="84.75" customHeight="1">
      <c r="A134" s="44"/>
      <c r="B134" s="552"/>
      <c r="C134" s="716"/>
      <c r="D134" s="716"/>
      <c r="E134" s="716"/>
      <c r="F134" s="716"/>
      <c r="G134" s="716"/>
      <c r="H134" s="716"/>
      <c r="I134" s="716" t="s">
        <v>673</v>
      </c>
      <c r="J134" s="716" t="s">
        <v>64</v>
      </c>
      <c r="K134" s="667" t="s">
        <v>281</v>
      </c>
      <c r="L134" s="552"/>
      <c r="M134" s="552"/>
      <c r="N134" s="37"/>
      <c r="O134" s="372"/>
      <c r="P134" s="73"/>
      <c r="Q134" s="73"/>
      <c r="R134" s="73"/>
    </row>
    <row r="135" spans="1:18" s="94" customFormat="1" ht="48.75" customHeight="1">
      <c r="A135" s="999" t="s">
        <v>1411</v>
      </c>
      <c r="B135" s="707" t="s">
        <v>1412</v>
      </c>
      <c r="C135" s="727"/>
      <c r="D135" s="727"/>
      <c r="E135" s="727"/>
      <c r="F135" s="792"/>
      <c r="G135" s="788"/>
      <c r="H135" s="792"/>
      <c r="I135" s="904" t="s">
        <v>1181</v>
      </c>
      <c r="J135" s="811"/>
      <c r="K135" s="711"/>
      <c r="L135" s="552" t="s">
        <v>40</v>
      </c>
      <c r="M135" s="121" t="s">
        <v>38</v>
      </c>
      <c r="N135" s="37">
        <v>0</v>
      </c>
      <c r="O135" s="372">
        <v>0</v>
      </c>
      <c r="P135" s="73">
        <v>0</v>
      </c>
      <c r="Q135" s="73">
        <v>206.90100000000001</v>
      </c>
      <c r="R135" s="73">
        <v>0</v>
      </c>
    </row>
    <row r="136" spans="1:18" s="94" customFormat="1" ht="48.75" customHeight="1">
      <c r="A136" s="999"/>
      <c r="B136" s="707" t="s">
        <v>1413</v>
      </c>
      <c r="C136" s="727"/>
      <c r="D136" s="727"/>
      <c r="E136" s="727"/>
      <c r="F136" s="792"/>
      <c r="G136" s="788"/>
      <c r="H136" s="792"/>
      <c r="I136" s="904"/>
      <c r="J136" s="811"/>
      <c r="K136" s="711"/>
      <c r="L136" s="552" t="s">
        <v>40</v>
      </c>
      <c r="M136" s="121" t="s">
        <v>38</v>
      </c>
      <c r="N136" s="37">
        <v>0</v>
      </c>
      <c r="O136" s="372">
        <v>0</v>
      </c>
      <c r="P136" s="73">
        <v>0</v>
      </c>
      <c r="Q136" s="73">
        <v>6.399</v>
      </c>
      <c r="R136" s="73">
        <v>0</v>
      </c>
    </row>
    <row r="137" spans="1:18" s="94" customFormat="1" ht="23.25" customHeight="1">
      <c r="A137" s="35" t="s">
        <v>1343</v>
      </c>
      <c r="B137" s="707"/>
      <c r="C137" s="681"/>
      <c r="D137" s="681"/>
      <c r="E137" s="681"/>
      <c r="F137" s="727"/>
      <c r="G137" s="681"/>
      <c r="H137" s="681"/>
      <c r="I137" s="681"/>
      <c r="J137" s="681"/>
      <c r="K137" s="711"/>
      <c r="L137" s="553"/>
      <c r="M137" s="553"/>
      <c r="N137" s="87"/>
      <c r="O137" s="91"/>
      <c r="P137" s="91"/>
      <c r="Q137" s="91"/>
      <c r="R137" s="91"/>
    </row>
    <row r="138" spans="1:18" s="94" customFormat="1" ht="108.75" customHeight="1">
      <c r="A138" s="35"/>
      <c r="B138" s="707" t="s">
        <v>993</v>
      </c>
      <c r="C138" s="681"/>
      <c r="D138" s="681"/>
      <c r="E138" s="681"/>
      <c r="F138" s="950" t="s">
        <v>461</v>
      </c>
      <c r="G138" s="920" t="s">
        <v>695</v>
      </c>
      <c r="H138" s="920" t="s">
        <v>462</v>
      </c>
      <c r="I138" s="681" t="s">
        <v>1329</v>
      </c>
      <c r="J138" s="681" t="s">
        <v>64</v>
      </c>
      <c r="K138" s="711" t="s">
        <v>1330</v>
      </c>
      <c r="L138" s="325" t="s">
        <v>40</v>
      </c>
      <c r="M138" s="325" t="s">
        <v>38</v>
      </c>
      <c r="N138" s="564">
        <v>284.8</v>
      </c>
      <c r="O138" s="326">
        <v>284.8</v>
      </c>
      <c r="P138" s="326">
        <v>0</v>
      </c>
      <c r="Q138" s="326">
        <v>0</v>
      </c>
      <c r="R138" s="326">
        <v>0</v>
      </c>
    </row>
    <row r="139" spans="1:18" s="94" customFormat="1" ht="108" hidden="1">
      <c r="A139" s="351"/>
      <c r="B139" s="352" t="s">
        <v>1029</v>
      </c>
      <c r="C139" s="738"/>
      <c r="D139" s="738"/>
      <c r="E139" s="738"/>
      <c r="F139" s="950"/>
      <c r="G139" s="920"/>
      <c r="H139" s="920"/>
      <c r="I139" s="681" t="s">
        <v>1031</v>
      </c>
      <c r="J139" s="738" t="s">
        <v>64</v>
      </c>
      <c r="K139" s="522" t="s">
        <v>1032</v>
      </c>
      <c r="L139" s="325" t="s">
        <v>40</v>
      </c>
      <c r="M139" s="325" t="s">
        <v>38</v>
      </c>
      <c r="N139" s="358"/>
      <c r="O139" s="360"/>
      <c r="P139" s="360"/>
      <c r="Q139" s="360"/>
      <c r="R139" s="360"/>
    </row>
    <row r="140" spans="1:18" s="94" customFormat="1" ht="12">
      <c r="A140" s="940" t="s">
        <v>518</v>
      </c>
      <c r="B140" s="137" t="s">
        <v>496</v>
      </c>
      <c r="C140" s="162"/>
      <c r="D140" s="162"/>
      <c r="E140" s="162"/>
      <c r="F140" s="162"/>
      <c r="G140" s="162"/>
      <c r="H140" s="163"/>
      <c r="I140" s="162"/>
      <c r="J140" s="162"/>
      <c r="K140" s="163"/>
      <c r="L140" s="58"/>
      <c r="M140" s="58"/>
      <c r="N140" s="78">
        <f t="shared" ref="N140:R140" si="14">SUM(N141:N142)</f>
        <v>8178.9930000000004</v>
      </c>
      <c r="O140" s="78">
        <f t="shared" si="14"/>
        <v>8178.9930000000004</v>
      </c>
      <c r="P140" s="78">
        <f t="shared" si="14"/>
        <v>9070.1</v>
      </c>
      <c r="Q140" s="78">
        <f t="shared" si="14"/>
        <v>9070.1</v>
      </c>
      <c r="R140" s="78">
        <f t="shared" si="14"/>
        <v>9070.1</v>
      </c>
    </row>
    <row r="141" spans="1:18" s="94" customFormat="1" ht="58.5" customHeight="1">
      <c r="A141" s="941"/>
      <c r="B141" s="719"/>
      <c r="C141" s="205" t="s">
        <v>326</v>
      </c>
      <c r="D141" s="235" t="s">
        <v>294</v>
      </c>
      <c r="E141" s="205" t="s">
        <v>57</v>
      </c>
      <c r="F141" s="951" t="s">
        <v>773</v>
      </c>
      <c r="G141" s="799" t="s">
        <v>774</v>
      </c>
      <c r="H141" s="799" t="s">
        <v>810</v>
      </c>
      <c r="I141" s="716" t="s">
        <v>982</v>
      </c>
      <c r="J141" s="716" t="s">
        <v>736</v>
      </c>
      <c r="K141" s="667" t="s">
        <v>737</v>
      </c>
      <c r="L141" s="550" t="s">
        <v>40</v>
      </c>
      <c r="M141" s="768" t="s">
        <v>40</v>
      </c>
      <c r="N141" s="52">
        <v>3033.3380000000002</v>
      </c>
      <c r="O141" s="373">
        <v>3033.3380000000002</v>
      </c>
      <c r="P141" s="99">
        <v>3804</v>
      </c>
      <c r="Q141" s="99">
        <v>3804</v>
      </c>
      <c r="R141" s="99">
        <v>3804</v>
      </c>
    </row>
    <row r="142" spans="1:18" s="94" customFormat="1" ht="47.25" customHeight="1">
      <c r="A142" s="942"/>
      <c r="B142" s="552" t="s">
        <v>303</v>
      </c>
      <c r="C142" s="719"/>
      <c r="D142" s="719"/>
      <c r="E142" s="719"/>
      <c r="F142" s="951"/>
      <c r="G142" s="799"/>
      <c r="H142" s="799"/>
      <c r="I142" s="716" t="s">
        <v>1022</v>
      </c>
      <c r="J142" s="716" t="s">
        <v>64</v>
      </c>
      <c r="K142" s="667" t="s">
        <v>989</v>
      </c>
      <c r="L142" s="552"/>
      <c r="M142" s="121"/>
      <c r="N142" s="52">
        <v>5145.6549999999997</v>
      </c>
      <c r="O142" s="373">
        <v>5145.6549999999997</v>
      </c>
      <c r="P142" s="99">
        <v>5266.1</v>
      </c>
      <c r="Q142" s="99">
        <v>5266.1</v>
      </c>
      <c r="R142" s="99">
        <v>5266.1</v>
      </c>
    </row>
    <row r="143" spans="1:18" s="94" customFormat="1" ht="81.75" customHeight="1">
      <c r="A143" s="945" t="s">
        <v>519</v>
      </c>
      <c r="B143" s="866" t="s">
        <v>41</v>
      </c>
      <c r="C143" s="205" t="s">
        <v>326</v>
      </c>
      <c r="D143" s="206" t="s">
        <v>294</v>
      </c>
      <c r="E143" s="110" t="s">
        <v>57</v>
      </c>
      <c r="F143" s="110"/>
      <c r="G143" s="110"/>
      <c r="H143" s="145"/>
      <c r="I143" s="205" t="s">
        <v>673</v>
      </c>
      <c r="J143" s="141" t="s">
        <v>64</v>
      </c>
      <c r="K143" s="142" t="s">
        <v>281</v>
      </c>
      <c r="L143" s="709" t="s">
        <v>40</v>
      </c>
      <c r="M143" s="709" t="s">
        <v>35</v>
      </c>
      <c r="N143" s="29">
        <v>419.03</v>
      </c>
      <c r="O143" s="377">
        <v>419.03</v>
      </c>
      <c r="P143" s="242">
        <v>319.39999999999998</v>
      </c>
      <c r="Q143" s="242">
        <v>319.39999999999998</v>
      </c>
      <c r="R143" s="242">
        <v>319.39999999999998</v>
      </c>
    </row>
    <row r="144" spans="1:18" s="94" customFormat="1" ht="230.25" customHeight="1">
      <c r="A144" s="949"/>
      <c r="B144" s="946"/>
      <c r="C144" s="259"/>
      <c r="D144" s="259"/>
      <c r="E144" s="259"/>
      <c r="F144" s="259"/>
      <c r="G144" s="259"/>
      <c r="H144" s="149"/>
      <c r="I144" s="259"/>
      <c r="J144" s="259"/>
      <c r="K144" s="149"/>
      <c r="L144" s="751" t="s">
        <v>40</v>
      </c>
      <c r="M144" s="751" t="s">
        <v>38</v>
      </c>
      <c r="N144" s="78">
        <v>529.29999999999995</v>
      </c>
      <c r="O144" s="375">
        <v>529.29999999999995</v>
      </c>
      <c r="P144" s="196">
        <v>589.79999999999995</v>
      </c>
      <c r="Q144" s="196">
        <v>589.79999999999995</v>
      </c>
      <c r="R144" s="196">
        <v>589.79999999999995</v>
      </c>
    </row>
    <row r="145" spans="1:18" s="95" customFormat="1" ht="59.25" hidden="1" customHeight="1">
      <c r="A145" s="945" t="s">
        <v>520</v>
      </c>
      <c r="B145" s="747">
        <v>1025</v>
      </c>
      <c r="C145" s="691" t="s">
        <v>53</v>
      </c>
      <c r="D145" s="691" t="s">
        <v>327</v>
      </c>
      <c r="E145" s="691" t="s">
        <v>54</v>
      </c>
      <c r="F145" s="874" t="s">
        <v>95</v>
      </c>
      <c r="G145" s="744" t="s">
        <v>66</v>
      </c>
      <c r="H145" s="744" t="s">
        <v>96</v>
      </c>
      <c r="I145" s="110" t="s">
        <v>97</v>
      </c>
      <c r="J145" s="110" t="s">
        <v>64</v>
      </c>
      <c r="K145" s="145" t="s">
        <v>98</v>
      </c>
      <c r="L145" s="709" t="s">
        <v>35</v>
      </c>
      <c r="M145" s="709" t="s">
        <v>33</v>
      </c>
      <c r="N145" s="29"/>
      <c r="O145" s="378"/>
      <c r="P145" s="64"/>
      <c r="Q145" s="139">
        <v>0</v>
      </c>
      <c r="R145" s="139">
        <v>0</v>
      </c>
    </row>
    <row r="146" spans="1:18" s="95" customFormat="1" ht="59.25" hidden="1" customHeight="1">
      <c r="A146" s="949"/>
      <c r="B146" s="500"/>
      <c r="C146" s="693"/>
      <c r="D146" s="693"/>
      <c r="E146" s="693"/>
      <c r="F146" s="875"/>
      <c r="G146" s="755"/>
      <c r="H146" s="755"/>
      <c r="I146" s="259" t="s">
        <v>99</v>
      </c>
      <c r="J146" s="259" t="s">
        <v>64</v>
      </c>
      <c r="K146" s="149" t="s">
        <v>100</v>
      </c>
      <c r="L146" s="748"/>
      <c r="M146" s="748"/>
      <c r="N146" s="46"/>
      <c r="O146" s="379"/>
      <c r="P146" s="40"/>
      <c r="Q146" s="76"/>
      <c r="R146" s="76"/>
    </row>
    <row r="147" spans="1:18" s="95" customFormat="1" ht="11.25" customHeight="1">
      <c r="A147" s="945" t="s">
        <v>959</v>
      </c>
      <c r="B147" s="748">
        <v>1026</v>
      </c>
      <c r="C147" s="692"/>
      <c r="D147" s="692"/>
      <c r="E147" s="692"/>
      <c r="F147" s="737"/>
      <c r="G147" s="737"/>
      <c r="H147" s="737"/>
      <c r="I147" s="727"/>
      <c r="J147" s="727"/>
      <c r="K147" s="225"/>
      <c r="L147" s="729"/>
      <c r="M147" s="729"/>
      <c r="N147" s="81">
        <f>SUM(N148:N150)</f>
        <v>1985.2460000000001</v>
      </c>
      <c r="O147" s="81">
        <f>SUM(O148:O150)</f>
        <v>1985.2460000000001</v>
      </c>
      <c r="P147" s="81">
        <f>SUM(P148:P150)</f>
        <v>25515.1</v>
      </c>
      <c r="Q147" s="81">
        <f>SUM(Q148:Q150)</f>
        <v>3083.5</v>
      </c>
      <c r="R147" s="81">
        <f>SUM(R148:R150)</f>
        <v>3083.5</v>
      </c>
    </row>
    <row r="148" spans="1:18" s="95" customFormat="1" ht="71.25" customHeight="1">
      <c r="A148" s="917"/>
      <c r="B148" s="943"/>
      <c r="C148" s="810" t="s">
        <v>53</v>
      </c>
      <c r="D148" s="810" t="s">
        <v>94</v>
      </c>
      <c r="E148" s="810" t="s">
        <v>54</v>
      </c>
      <c r="F148" s="810" t="s">
        <v>28</v>
      </c>
      <c r="G148" s="810" t="s">
        <v>28</v>
      </c>
      <c r="H148" s="810" t="s">
        <v>28</v>
      </c>
      <c r="I148" s="680" t="s">
        <v>90</v>
      </c>
      <c r="J148" s="680" t="s">
        <v>91</v>
      </c>
      <c r="K148" s="680" t="s">
        <v>92</v>
      </c>
      <c r="L148" s="660" t="s">
        <v>32</v>
      </c>
      <c r="M148" s="660" t="s">
        <v>38</v>
      </c>
      <c r="N148" s="279">
        <v>1985.2460000000001</v>
      </c>
      <c r="O148" s="365">
        <v>1985.2460000000001</v>
      </c>
      <c r="P148" s="279">
        <f>5921.4+3044.9</f>
        <v>8966.2999999999993</v>
      </c>
      <c r="Q148" s="131">
        <v>3083.5</v>
      </c>
      <c r="R148" s="131">
        <v>3083.5</v>
      </c>
    </row>
    <row r="149" spans="1:18" s="95" customFormat="1" ht="38.25" customHeight="1">
      <c r="A149" s="917"/>
      <c r="B149" s="944"/>
      <c r="C149" s="811"/>
      <c r="D149" s="811"/>
      <c r="E149" s="811"/>
      <c r="F149" s="811"/>
      <c r="G149" s="811"/>
      <c r="H149" s="811"/>
      <c r="I149" s="681" t="s">
        <v>457</v>
      </c>
      <c r="J149" s="681" t="s">
        <v>64</v>
      </c>
      <c r="K149" s="681" t="s">
        <v>458</v>
      </c>
      <c r="L149" s="736"/>
      <c r="M149" s="736"/>
      <c r="N149" s="46"/>
      <c r="O149" s="380"/>
      <c r="P149" s="284"/>
      <c r="Q149" s="133"/>
      <c r="R149" s="133"/>
    </row>
    <row r="150" spans="1:18" s="94" customFormat="1" ht="36.75" customHeight="1">
      <c r="A150" s="752"/>
      <c r="B150" s="707" t="s">
        <v>1414</v>
      </c>
      <c r="C150" s="681"/>
      <c r="D150" s="681"/>
      <c r="E150" s="681"/>
      <c r="F150" s="681"/>
      <c r="G150" s="681"/>
      <c r="H150" s="681"/>
      <c r="I150" s="736" t="s">
        <v>1516</v>
      </c>
      <c r="J150" s="412"/>
      <c r="K150" s="412"/>
      <c r="L150" s="631" t="s">
        <v>32</v>
      </c>
      <c r="M150" s="631" t="s">
        <v>38</v>
      </c>
      <c r="N150" s="43">
        <v>0</v>
      </c>
      <c r="O150" s="366">
        <v>0</v>
      </c>
      <c r="P150" s="280">
        <v>16548.8</v>
      </c>
      <c r="Q150" s="132">
        <v>0</v>
      </c>
      <c r="R150" s="132">
        <v>0</v>
      </c>
    </row>
    <row r="151" spans="1:18" s="95" customFormat="1" ht="15.75" hidden="1" customHeight="1">
      <c r="A151" s="1000" t="s">
        <v>709</v>
      </c>
      <c r="B151" s="643">
        <v>1027</v>
      </c>
      <c r="C151" s="644"/>
      <c r="D151" s="644"/>
      <c r="E151" s="644"/>
      <c r="F151" s="645"/>
      <c r="G151" s="645"/>
      <c r="H151" s="645"/>
      <c r="I151" s="644"/>
      <c r="J151" s="644"/>
      <c r="K151" s="644"/>
      <c r="L151" s="646" t="s">
        <v>34</v>
      </c>
      <c r="M151" s="646" t="s">
        <v>22</v>
      </c>
      <c r="N151" s="647">
        <f>SUM(N152:N153)</f>
        <v>0</v>
      </c>
      <c r="O151" s="647">
        <f t="shared" ref="O151:R151" si="15">SUM(O152:O153)</f>
        <v>0</v>
      </c>
      <c r="P151" s="647">
        <f t="shared" si="15"/>
        <v>0</v>
      </c>
      <c r="Q151" s="647">
        <f t="shared" si="15"/>
        <v>0</v>
      </c>
      <c r="R151" s="648">
        <f t="shared" si="15"/>
        <v>0</v>
      </c>
    </row>
    <row r="152" spans="1:18" s="94" customFormat="1" ht="75.75" hidden="1" customHeight="1">
      <c r="A152" s="918"/>
      <c r="B152" s="413" t="s">
        <v>1415</v>
      </c>
      <c r="C152" s="736"/>
      <c r="D152" s="736"/>
      <c r="E152" s="736"/>
      <c r="F152" s="412"/>
      <c r="G152" s="412"/>
      <c r="H152" s="412"/>
      <c r="I152" s="736" t="s">
        <v>1471</v>
      </c>
      <c r="J152" s="736" t="s">
        <v>64</v>
      </c>
      <c r="K152" s="736" t="s">
        <v>1472</v>
      </c>
      <c r="L152" s="413"/>
      <c r="M152" s="413"/>
      <c r="N152" s="384">
        <v>0</v>
      </c>
      <c r="O152" s="384">
        <v>0</v>
      </c>
      <c r="P152" s="384">
        <v>0</v>
      </c>
      <c r="Q152" s="384">
        <v>0</v>
      </c>
      <c r="R152" s="132">
        <v>0</v>
      </c>
    </row>
    <row r="153" spans="1:18" s="94" customFormat="1" ht="129.75" hidden="1" customHeight="1">
      <c r="A153" s="1001"/>
      <c r="B153" s="631"/>
      <c r="C153" s="631"/>
      <c r="D153" s="631"/>
      <c r="E153" s="631"/>
      <c r="F153" s="639"/>
      <c r="G153" s="639"/>
      <c r="H153" s="639"/>
      <c r="I153" s="631"/>
      <c r="J153" s="631"/>
      <c r="K153" s="631"/>
      <c r="L153" s="640"/>
      <c r="M153" s="640"/>
      <c r="N153" s="632">
        <v>0</v>
      </c>
      <c r="O153" s="632">
        <v>0</v>
      </c>
      <c r="P153" s="632">
        <v>0</v>
      </c>
      <c r="Q153" s="632">
        <v>0</v>
      </c>
      <c r="R153" s="538">
        <v>0</v>
      </c>
    </row>
    <row r="154" spans="1:18" s="95" customFormat="1" ht="34.5" customHeight="1">
      <c r="A154" s="28" t="s">
        <v>521</v>
      </c>
      <c r="B154" s="747">
        <v>1029</v>
      </c>
      <c r="C154" s="747"/>
      <c r="D154" s="747"/>
      <c r="E154" s="747"/>
      <c r="F154" s="28"/>
      <c r="G154" s="28"/>
      <c r="H154" s="28"/>
      <c r="I154" s="747"/>
      <c r="J154" s="747"/>
      <c r="K154" s="747"/>
      <c r="L154" s="747"/>
      <c r="M154" s="274"/>
      <c r="N154" s="127">
        <f t="shared" ref="N154:R154" si="16">SUM(N156:N160)</f>
        <v>4061.8240000000001</v>
      </c>
      <c r="O154" s="127">
        <f t="shared" si="16"/>
        <v>4049.1390000000001</v>
      </c>
      <c r="P154" s="127">
        <f t="shared" si="16"/>
        <v>4306.8</v>
      </c>
      <c r="Q154" s="127">
        <f t="shared" si="16"/>
        <v>2456</v>
      </c>
      <c r="R154" s="127">
        <f t="shared" si="16"/>
        <v>2467</v>
      </c>
    </row>
    <row r="155" spans="1:18" s="95" customFormat="1" ht="9.75" customHeight="1">
      <c r="A155" s="64" t="s">
        <v>89</v>
      </c>
      <c r="B155" s="720"/>
      <c r="C155" s="720"/>
      <c r="D155" s="720"/>
      <c r="E155" s="720"/>
      <c r="F155" s="56"/>
      <c r="G155" s="56"/>
      <c r="H155" s="56"/>
      <c r="I155" s="720"/>
      <c r="J155" s="720"/>
      <c r="K155" s="720"/>
      <c r="L155" s="65"/>
      <c r="M155" s="274"/>
      <c r="N155" s="127"/>
      <c r="O155" s="363"/>
      <c r="P155" s="127"/>
      <c r="Q155" s="127"/>
      <c r="R155" s="127"/>
    </row>
    <row r="156" spans="1:18" s="94" customFormat="1" ht="33.75" customHeight="1">
      <c r="A156" s="975"/>
      <c r="B156" s="681"/>
      <c r="C156" s="998" t="s">
        <v>53</v>
      </c>
      <c r="D156" s="830" t="s">
        <v>101</v>
      </c>
      <c r="E156" s="830" t="s">
        <v>54</v>
      </c>
      <c r="F156" s="697"/>
      <c r="G156" s="697"/>
      <c r="H156" s="697"/>
      <c r="I156" s="697" t="s">
        <v>102</v>
      </c>
      <c r="J156" s="697" t="s">
        <v>64</v>
      </c>
      <c r="K156" s="11" t="s">
        <v>57</v>
      </c>
      <c r="L156" s="680" t="s">
        <v>29</v>
      </c>
      <c r="M156" s="704" t="s">
        <v>23</v>
      </c>
      <c r="N156" s="52">
        <f>2377.604+6.82</f>
        <v>2384.424</v>
      </c>
      <c r="O156" s="364">
        <f>2364.919+6.82</f>
        <v>2371.739</v>
      </c>
      <c r="P156" s="52">
        <f>2420.6+34</f>
        <v>2454.6</v>
      </c>
      <c r="Q156" s="52">
        <f>2421+35</f>
        <v>2456</v>
      </c>
      <c r="R156" s="52">
        <f>2431+36</f>
        <v>2467</v>
      </c>
    </row>
    <row r="157" spans="1:18" s="94" customFormat="1" ht="96.75" customHeight="1">
      <c r="A157" s="948"/>
      <c r="B157" s="681"/>
      <c r="C157" s="965"/>
      <c r="D157" s="838"/>
      <c r="E157" s="838"/>
      <c r="F157" s="697"/>
      <c r="G157" s="697"/>
      <c r="H157" s="697"/>
      <c r="I157" s="697" t="s">
        <v>1010</v>
      </c>
      <c r="J157" s="697" t="s">
        <v>64</v>
      </c>
      <c r="K157" s="11" t="s">
        <v>405</v>
      </c>
      <c r="L157" s="681"/>
      <c r="M157" s="705"/>
      <c r="N157" s="37"/>
      <c r="O157" s="369"/>
      <c r="P157" s="37"/>
      <c r="Q157" s="37"/>
      <c r="R157" s="37"/>
    </row>
    <row r="158" spans="1:18" s="94" customFormat="1" ht="45.75" customHeight="1">
      <c r="A158" s="752"/>
      <c r="B158" s="681"/>
      <c r="C158" s="692"/>
      <c r="D158" s="692"/>
      <c r="E158" s="692"/>
      <c r="F158" s="758"/>
      <c r="G158" s="697"/>
      <c r="H158" s="697"/>
      <c r="I158" s="697" t="s">
        <v>83</v>
      </c>
      <c r="J158" s="697" t="s">
        <v>64</v>
      </c>
      <c r="K158" s="11" t="s">
        <v>67</v>
      </c>
      <c r="L158" s="864" t="s">
        <v>37</v>
      </c>
      <c r="M158" s="862" t="s">
        <v>29</v>
      </c>
      <c r="N158" s="846">
        <v>1164.4000000000001</v>
      </c>
      <c r="O158" s="858">
        <v>1164.4000000000001</v>
      </c>
      <c r="P158" s="860">
        <v>1339.2</v>
      </c>
      <c r="Q158" s="860">
        <v>0</v>
      </c>
      <c r="R158" s="860">
        <v>0</v>
      </c>
    </row>
    <row r="159" spans="1:18" s="94" customFormat="1" ht="170.25" customHeight="1">
      <c r="A159" s="35"/>
      <c r="B159" s="707" t="s">
        <v>118</v>
      </c>
      <c r="C159" s="66"/>
      <c r="D159" s="66"/>
      <c r="E159" s="66"/>
      <c r="F159" s="252" t="s">
        <v>775</v>
      </c>
      <c r="G159" s="681" t="s">
        <v>776</v>
      </c>
      <c r="H159" s="737" t="s">
        <v>810</v>
      </c>
      <c r="I159" s="826" t="s">
        <v>1460</v>
      </c>
      <c r="J159" s="692" t="s">
        <v>64</v>
      </c>
      <c r="K159" s="692" t="s">
        <v>1461</v>
      </c>
      <c r="L159" s="865"/>
      <c r="M159" s="863"/>
      <c r="N159" s="847"/>
      <c r="O159" s="859"/>
      <c r="P159" s="861"/>
      <c r="Q159" s="861"/>
      <c r="R159" s="861"/>
    </row>
    <row r="160" spans="1:18" s="94" customFormat="1" ht="12" customHeight="1">
      <c r="A160" s="38"/>
      <c r="B160" s="58"/>
      <c r="C160" s="75"/>
      <c r="D160" s="75"/>
      <c r="E160" s="75"/>
      <c r="F160" s="755"/>
      <c r="G160" s="755"/>
      <c r="H160" s="755"/>
      <c r="I160" s="927"/>
      <c r="J160" s="693"/>
      <c r="K160" s="693"/>
      <c r="L160" s="708" t="s">
        <v>37</v>
      </c>
      <c r="M160" s="314" t="s">
        <v>29</v>
      </c>
      <c r="N160" s="567">
        <v>513</v>
      </c>
      <c r="O160" s="381">
        <v>513</v>
      </c>
      <c r="P160" s="641">
        <v>513</v>
      </c>
      <c r="Q160" s="293">
        <v>0</v>
      </c>
      <c r="R160" s="293">
        <v>0</v>
      </c>
    </row>
    <row r="161" spans="1:18" s="95" customFormat="1" ht="60.75" customHeight="1">
      <c r="A161" s="28" t="s">
        <v>522</v>
      </c>
      <c r="B161" s="747">
        <v>1034</v>
      </c>
      <c r="C161" s="28" t="s">
        <v>28</v>
      </c>
      <c r="D161" s="28" t="s">
        <v>28</v>
      </c>
      <c r="E161" s="28" t="s">
        <v>28</v>
      </c>
      <c r="F161" s="28" t="s">
        <v>28</v>
      </c>
      <c r="G161" s="28" t="s">
        <v>28</v>
      </c>
      <c r="H161" s="28" t="s">
        <v>28</v>
      </c>
      <c r="I161" s="28" t="s">
        <v>28</v>
      </c>
      <c r="J161" s="28" t="s">
        <v>28</v>
      </c>
      <c r="K161" s="28" t="s">
        <v>28</v>
      </c>
      <c r="L161" s="747" t="s">
        <v>37</v>
      </c>
      <c r="M161" s="274" t="s">
        <v>29</v>
      </c>
      <c r="N161" s="127">
        <f>SUM(N162:N180)</f>
        <v>58188.500999999997</v>
      </c>
      <c r="O161" s="127">
        <f t="shared" ref="O161:R161" si="17">SUM(O162:O180)</f>
        <v>57399.027000000002</v>
      </c>
      <c r="P161" s="127">
        <f t="shared" si="17"/>
        <v>73594.678</v>
      </c>
      <c r="Q161" s="127">
        <f t="shared" si="17"/>
        <v>6244.6</v>
      </c>
      <c r="R161" s="127">
        <f t="shared" si="17"/>
        <v>1955.15</v>
      </c>
    </row>
    <row r="162" spans="1:18" s="94" customFormat="1" ht="109.5" customHeight="1">
      <c r="A162" s="42" t="s">
        <v>687</v>
      </c>
      <c r="B162" s="680"/>
      <c r="C162" s="680" t="s">
        <v>53</v>
      </c>
      <c r="D162" s="680" t="s">
        <v>103</v>
      </c>
      <c r="E162" s="680" t="s">
        <v>54</v>
      </c>
      <c r="F162" s="680" t="s">
        <v>694</v>
      </c>
      <c r="G162" s="680" t="s">
        <v>104</v>
      </c>
      <c r="H162" s="680" t="s">
        <v>105</v>
      </c>
      <c r="I162" s="110" t="s">
        <v>747</v>
      </c>
      <c r="J162" s="110" t="s">
        <v>64</v>
      </c>
      <c r="K162" s="145" t="s">
        <v>67</v>
      </c>
      <c r="L162" s="680" t="s">
        <v>37</v>
      </c>
      <c r="M162" s="704" t="s">
        <v>29</v>
      </c>
      <c r="N162" s="52">
        <f>17915.972+216.286+381.043</f>
        <v>18513.301000000003</v>
      </c>
      <c r="O162" s="364">
        <f>17911.45+203.004+381.043</f>
        <v>18495.497000000003</v>
      </c>
      <c r="P162" s="52">
        <f>18727.847+852.95</f>
        <v>19580.797000000002</v>
      </c>
      <c r="Q162" s="52">
        <f>4426.2</f>
        <v>4426.2</v>
      </c>
      <c r="R162" s="52">
        <f>136.75</f>
        <v>136.75</v>
      </c>
    </row>
    <row r="163" spans="1:18" s="94" customFormat="1" ht="145.5" customHeight="1">
      <c r="A163" s="35"/>
      <c r="B163" s="681"/>
      <c r="C163" s="681" t="s">
        <v>411</v>
      </c>
      <c r="D163" s="681" t="s">
        <v>465</v>
      </c>
      <c r="E163" s="681" t="s">
        <v>412</v>
      </c>
      <c r="F163" s="681"/>
      <c r="G163" s="681"/>
      <c r="H163" s="681"/>
      <c r="I163" s="727" t="s">
        <v>1003</v>
      </c>
      <c r="J163" s="727" t="s">
        <v>64</v>
      </c>
      <c r="K163" s="5" t="s">
        <v>398</v>
      </c>
      <c r="L163" s="681"/>
      <c r="M163" s="705"/>
      <c r="N163" s="37"/>
      <c r="O163" s="369"/>
      <c r="P163" s="37"/>
      <c r="Q163" s="37"/>
      <c r="R163" s="37"/>
    </row>
    <row r="164" spans="1:18" s="94" customFormat="1" ht="39.75" customHeight="1">
      <c r="A164" s="35"/>
      <c r="B164" s="681"/>
      <c r="C164" s="681"/>
      <c r="D164" s="681"/>
      <c r="E164" s="681"/>
      <c r="F164" s="681"/>
      <c r="G164" s="681"/>
      <c r="H164" s="681"/>
      <c r="I164" s="727" t="s">
        <v>440</v>
      </c>
      <c r="J164" s="727" t="s">
        <v>64</v>
      </c>
      <c r="K164" s="5" t="s">
        <v>441</v>
      </c>
      <c r="L164" s="681"/>
      <c r="M164" s="705"/>
      <c r="N164" s="37"/>
      <c r="O164" s="369"/>
      <c r="P164" s="37"/>
      <c r="Q164" s="37"/>
      <c r="R164" s="37"/>
    </row>
    <row r="165" spans="1:18" s="94" customFormat="1" ht="75.75" customHeight="1">
      <c r="A165" s="35"/>
      <c r="B165" s="681"/>
      <c r="C165" s="681"/>
      <c r="D165" s="681"/>
      <c r="E165" s="681"/>
      <c r="F165" s="681"/>
      <c r="G165" s="681"/>
      <c r="H165" s="681"/>
      <c r="I165" s="3" t="s">
        <v>399</v>
      </c>
      <c r="J165" s="727" t="s">
        <v>64</v>
      </c>
      <c r="K165" s="5" t="s">
        <v>400</v>
      </c>
      <c r="L165" s="681"/>
      <c r="M165" s="681"/>
      <c r="N165" s="43"/>
      <c r="O165" s="366"/>
      <c r="P165" s="280"/>
      <c r="Q165" s="132"/>
      <c r="R165" s="132"/>
    </row>
    <row r="166" spans="1:18" s="94" customFormat="1" ht="47.25" customHeight="1">
      <c r="A166" s="35"/>
      <c r="B166" s="681"/>
      <c r="C166" s="35"/>
      <c r="D166" s="35"/>
      <c r="E166" s="35"/>
      <c r="F166" s="35"/>
      <c r="G166" s="35"/>
      <c r="H166" s="35"/>
      <c r="I166" s="3" t="s">
        <v>1515</v>
      </c>
      <c r="J166" s="3" t="s">
        <v>64</v>
      </c>
      <c r="K166" s="4" t="s">
        <v>1035</v>
      </c>
      <c r="L166" s="681"/>
      <c r="M166" s="681"/>
      <c r="N166" s="43"/>
      <c r="O166" s="366"/>
      <c r="P166" s="280"/>
      <c r="Q166" s="132"/>
      <c r="R166" s="132"/>
    </row>
    <row r="167" spans="1:18" s="94" customFormat="1" ht="59.25" customHeight="1">
      <c r="A167" s="35"/>
      <c r="B167" s="681"/>
      <c r="C167" s="35"/>
      <c r="D167" s="35"/>
      <c r="E167" s="35"/>
      <c r="F167" s="35"/>
      <c r="G167" s="35"/>
      <c r="H167" s="35"/>
      <c r="I167" s="727" t="s">
        <v>1333</v>
      </c>
      <c r="J167" s="727" t="s">
        <v>64</v>
      </c>
      <c r="K167" s="5" t="s">
        <v>1035</v>
      </c>
      <c r="L167" s="681"/>
      <c r="M167" s="681"/>
      <c r="N167" s="43"/>
      <c r="O167" s="366"/>
      <c r="P167" s="280"/>
      <c r="Q167" s="132"/>
      <c r="R167" s="132"/>
    </row>
    <row r="168" spans="1:18" s="94" customFormat="1" ht="49.5" customHeight="1">
      <c r="A168" s="38"/>
      <c r="B168" s="681"/>
      <c r="C168" s="35"/>
      <c r="D168" s="35"/>
      <c r="E168" s="35"/>
      <c r="F168" s="250"/>
      <c r="G168" s="35"/>
      <c r="H168" s="251"/>
      <c r="I168" s="727" t="s">
        <v>83</v>
      </c>
      <c r="J168" s="727" t="s">
        <v>64</v>
      </c>
      <c r="K168" s="5" t="s">
        <v>67</v>
      </c>
      <c r="L168" s="688"/>
      <c r="M168" s="767"/>
      <c r="N168" s="53"/>
      <c r="O168" s="370"/>
      <c r="P168" s="282"/>
      <c r="Q168" s="53"/>
      <c r="R168" s="53"/>
    </row>
    <row r="169" spans="1:18" s="94" customFormat="1" ht="181.5" customHeight="1">
      <c r="A169" s="42" t="s">
        <v>688</v>
      </c>
      <c r="B169" s="681">
        <v>684</v>
      </c>
      <c r="C169" s="35"/>
      <c r="D169" s="35"/>
      <c r="E169" s="35"/>
      <c r="F169" s="252" t="s">
        <v>775</v>
      </c>
      <c r="G169" s="681" t="s">
        <v>776</v>
      </c>
      <c r="H169" s="737" t="s">
        <v>810</v>
      </c>
      <c r="I169" s="692" t="s">
        <v>1460</v>
      </c>
      <c r="J169" s="692" t="s">
        <v>64</v>
      </c>
      <c r="K169" s="692" t="s">
        <v>1461</v>
      </c>
      <c r="L169" s="680" t="s">
        <v>37</v>
      </c>
      <c r="M169" s="704" t="s">
        <v>29</v>
      </c>
      <c r="N169" s="52">
        <v>37201.1</v>
      </c>
      <c r="O169" s="364">
        <v>36764.821000000004</v>
      </c>
      <c r="P169" s="52">
        <v>43122.3</v>
      </c>
      <c r="Q169" s="52">
        <v>0</v>
      </c>
      <c r="R169" s="52">
        <v>0</v>
      </c>
    </row>
    <row r="170" spans="1:18" s="94" customFormat="1" ht="144.75" customHeight="1">
      <c r="A170" s="42" t="s">
        <v>689</v>
      </c>
      <c r="B170" s="681">
        <v>566</v>
      </c>
      <c r="C170" s="35"/>
      <c r="D170" s="35"/>
      <c r="E170" s="35"/>
      <c r="F170" s="252" t="s">
        <v>775</v>
      </c>
      <c r="G170" s="681" t="s">
        <v>777</v>
      </c>
      <c r="H170" s="737" t="s">
        <v>810</v>
      </c>
      <c r="I170" s="737" t="s">
        <v>1469</v>
      </c>
      <c r="J170" s="737" t="s">
        <v>64</v>
      </c>
      <c r="K170" s="737" t="s">
        <v>1325</v>
      </c>
      <c r="L170" s="680" t="s">
        <v>37</v>
      </c>
      <c r="M170" s="704" t="s">
        <v>29</v>
      </c>
      <c r="N170" s="52">
        <v>2074.9</v>
      </c>
      <c r="O170" s="364">
        <v>1739.509</v>
      </c>
      <c r="P170" s="52">
        <v>1818.4</v>
      </c>
      <c r="Q170" s="52">
        <v>1818.4</v>
      </c>
      <c r="R170" s="52">
        <v>1818.4</v>
      </c>
    </row>
    <row r="171" spans="1:18" s="94" customFormat="1" ht="24">
      <c r="A171" s="1011" t="s">
        <v>1480</v>
      </c>
      <c r="B171" s="435" t="s">
        <v>919</v>
      </c>
      <c r="C171" s="460"/>
      <c r="D171" s="460"/>
      <c r="E171" s="460"/>
      <c r="F171" s="651"/>
      <c r="G171" s="662"/>
      <c r="H171" s="746"/>
      <c r="I171" s="786" t="s">
        <v>1489</v>
      </c>
      <c r="J171" s="786" t="s">
        <v>64</v>
      </c>
      <c r="K171" s="786" t="s">
        <v>1488</v>
      </c>
      <c r="L171" s="553" t="s">
        <v>37</v>
      </c>
      <c r="M171" s="553" t="s">
        <v>29</v>
      </c>
      <c r="N171" s="652">
        <v>0</v>
      </c>
      <c r="O171" s="652">
        <v>0</v>
      </c>
      <c r="P171" s="652">
        <v>7699.8609999999999</v>
      </c>
      <c r="Q171" s="652">
        <v>0</v>
      </c>
      <c r="R171" s="652">
        <v>0</v>
      </c>
    </row>
    <row r="172" spans="1:18" s="94" customFormat="1" ht="12">
      <c r="A172" s="892"/>
      <c r="B172" s="435"/>
      <c r="C172" s="460"/>
      <c r="D172" s="460"/>
      <c r="E172" s="460"/>
      <c r="F172" s="651"/>
      <c r="G172" s="662"/>
      <c r="H172" s="746"/>
      <c r="I172" s="786"/>
      <c r="J172" s="786"/>
      <c r="K172" s="786"/>
      <c r="L172" s="553" t="s">
        <v>37</v>
      </c>
      <c r="M172" s="553" t="s">
        <v>29</v>
      </c>
      <c r="N172" s="652">
        <v>0</v>
      </c>
      <c r="O172" s="652">
        <v>0</v>
      </c>
      <c r="P172" s="652">
        <v>873.18</v>
      </c>
      <c r="Q172" s="652">
        <v>0</v>
      </c>
      <c r="R172" s="652">
        <v>0</v>
      </c>
    </row>
    <row r="173" spans="1:18" s="94" customFormat="1" ht="24">
      <c r="A173" s="938"/>
      <c r="B173" s="435" t="s">
        <v>1481</v>
      </c>
      <c r="C173" s="481"/>
      <c r="D173" s="481"/>
      <c r="E173" s="481"/>
      <c r="F173" s="659"/>
      <c r="G173" s="668"/>
      <c r="H173" s="665"/>
      <c r="I173" s="786"/>
      <c r="J173" s="786"/>
      <c r="K173" s="786"/>
      <c r="L173" s="553" t="s">
        <v>37</v>
      </c>
      <c r="M173" s="553" t="s">
        <v>29</v>
      </c>
      <c r="N173" s="652">
        <v>0</v>
      </c>
      <c r="O173" s="652">
        <v>0</v>
      </c>
      <c r="P173" s="652">
        <v>238.14</v>
      </c>
      <c r="Q173" s="652">
        <v>0</v>
      </c>
      <c r="R173" s="652">
        <v>0</v>
      </c>
    </row>
    <row r="174" spans="1:18" s="94" customFormat="1" ht="13.5" customHeight="1">
      <c r="A174" s="1011" t="s">
        <v>1514</v>
      </c>
      <c r="B174" s="657"/>
      <c r="C174" s="481"/>
      <c r="D174" s="481"/>
      <c r="E174" s="481"/>
      <c r="F174" s="665"/>
      <c r="G174" s="665"/>
      <c r="H174" s="665"/>
      <c r="I174" s="665"/>
      <c r="J174" s="665"/>
      <c r="K174" s="665"/>
      <c r="L174" s="451"/>
      <c r="M174" s="451"/>
      <c r="N174" s="652"/>
      <c r="O174" s="652"/>
      <c r="P174" s="652"/>
      <c r="Q174" s="652"/>
      <c r="R174" s="652"/>
    </row>
    <row r="175" spans="1:18" s="94" customFormat="1" ht="61.5" customHeight="1">
      <c r="A175" s="1012"/>
      <c r="B175" s="451" t="s">
        <v>1135</v>
      </c>
      <c r="C175" s="481"/>
      <c r="D175" s="481"/>
      <c r="E175" s="481"/>
      <c r="F175" s="786" t="s">
        <v>461</v>
      </c>
      <c r="G175" s="790" t="s">
        <v>695</v>
      </c>
      <c r="H175" s="790" t="s">
        <v>462</v>
      </c>
      <c r="I175" s="665" t="s">
        <v>1549</v>
      </c>
      <c r="J175" s="665" t="s">
        <v>64</v>
      </c>
      <c r="K175" s="665" t="s">
        <v>1550</v>
      </c>
      <c r="L175" s="451" t="s">
        <v>37</v>
      </c>
      <c r="M175" s="451" t="s">
        <v>29</v>
      </c>
      <c r="N175" s="482">
        <v>249.2</v>
      </c>
      <c r="O175" s="482">
        <v>249.2</v>
      </c>
      <c r="P175" s="482">
        <v>262</v>
      </c>
      <c r="Q175" s="482">
        <v>0</v>
      </c>
      <c r="R175" s="482">
        <v>0</v>
      </c>
    </row>
    <row r="176" spans="1:18" s="94" customFormat="1" ht="120" hidden="1" customHeight="1">
      <c r="A176" s="1012"/>
      <c r="B176" s="451" t="s">
        <v>433</v>
      </c>
      <c r="C176" s="481"/>
      <c r="D176" s="481"/>
      <c r="E176" s="481"/>
      <c r="F176" s="786"/>
      <c r="G176" s="790"/>
      <c r="H176" s="790"/>
      <c r="I176" s="658" t="s">
        <v>948</v>
      </c>
      <c r="J176" s="674" t="s">
        <v>64</v>
      </c>
      <c r="K176" s="675" t="s">
        <v>949</v>
      </c>
      <c r="L176" s="451" t="s">
        <v>37</v>
      </c>
      <c r="M176" s="451" t="s">
        <v>29</v>
      </c>
      <c r="N176" s="482"/>
      <c r="O176" s="482"/>
      <c r="P176" s="482"/>
      <c r="Q176" s="482"/>
      <c r="R176" s="482"/>
    </row>
    <row r="177" spans="1:18" s="94" customFormat="1" ht="60">
      <c r="A177" s="1012"/>
      <c r="B177" s="451" t="s">
        <v>437</v>
      </c>
      <c r="C177" s="481"/>
      <c r="D177" s="481"/>
      <c r="E177" s="481"/>
      <c r="F177" s="665"/>
      <c r="G177" s="668"/>
      <c r="H177" s="668"/>
      <c r="I177" s="658" t="s">
        <v>1213</v>
      </c>
      <c r="J177" s="674"/>
      <c r="K177" s="675"/>
      <c r="L177" s="551" t="s">
        <v>37</v>
      </c>
      <c r="M177" s="551" t="s">
        <v>29</v>
      </c>
      <c r="N177" s="57">
        <v>150</v>
      </c>
      <c r="O177" s="57">
        <v>150</v>
      </c>
      <c r="P177" s="57">
        <v>0</v>
      </c>
      <c r="Q177" s="57">
        <v>0</v>
      </c>
      <c r="R177" s="57">
        <v>0</v>
      </c>
    </row>
    <row r="178" spans="1:18" s="94" customFormat="1" ht="120.75" hidden="1" customHeight="1">
      <c r="A178" s="721"/>
      <c r="B178" s="552" t="s">
        <v>452</v>
      </c>
      <c r="C178" s="44"/>
      <c r="D178" s="44"/>
      <c r="E178" s="44"/>
      <c r="F178" s="724"/>
      <c r="G178" s="719"/>
      <c r="H178" s="719"/>
      <c r="I178" s="146" t="s">
        <v>985</v>
      </c>
      <c r="J178" s="716" t="s">
        <v>64</v>
      </c>
      <c r="K178" s="667" t="s">
        <v>984</v>
      </c>
      <c r="L178" s="327" t="s">
        <v>37</v>
      </c>
      <c r="M178" s="327" t="s">
        <v>29</v>
      </c>
      <c r="N178" s="57"/>
      <c r="O178" s="57"/>
      <c r="P178" s="57"/>
      <c r="Q178" s="57"/>
      <c r="R178" s="57"/>
    </row>
    <row r="179" spans="1:18" s="94" customFormat="1" ht="60.75" hidden="1" customHeight="1">
      <c r="A179" s="721"/>
      <c r="B179" s="552" t="s">
        <v>459</v>
      </c>
      <c r="C179" s="44"/>
      <c r="D179" s="44"/>
      <c r="E179" s="44"/>
      <c r="F179" s="724"/>
      <c r="G179" s="719"/>
      <c r="H179" s="719"/>
      <c r="I179" s="146" t="s">
        <v>1024</v>
      </c>
      <c r="J179" s="716" t="s">
        <v>64</v>
      </c>
      <c r="K179" s="667" t="s">
        <v>1025</v>
      </c>
      <c r="L179" s="327" t="s">
        <v>37</v>
      </c>
      <c r="M179" s="327" t="s">
        <v>29</v>
      </c>
      <c r="N179" s="57"/>
      <c r="O179" s="57"/>
      <c r="P179" s="57"/>
      <c r="Q179" s="57"/>
      <c r="R179" s="57"/>
    </row>
    <row r="180" spans="1:18" s="94" customFormat="1" ht="60" hidden="1" customHeight="1">
      <c r="A180" s="336"/>
      <c r="B180" s="337" t="s">
        <v>1030</v>
      </c>
      <c r="C180" s="338"/>
      <c r="D180" s="338"/>
      <c r="E180" s="338"/>
      <c r="F180" s="344"/>
      <c r="G180" s="349"/>
      <c r="H180" s="349"/>
      <c r="I180" s="734" t="s">
        <v>1265</v>
      </c>
      <c r="J180" s="340" t="s">
        <v>64</v>
      </c>
      <c r="K180" s="341" t="s">
        <v>1094</v>
      </c>
      <c r="L180" s="361" t="s">
        <v>37</v>
      </c>
      <c r="M180" s="361" t="s">
        <v>29</v>
      </c>
      <c r="N180" s="362"/>
      <c r="O180" s="382"/>
      <c r="P180" s="362"/>
      <c r="Q180" s="362"/>
      <c r="R180" s="362"/>
    </row>
    <row r="181" spans="1:18" s="95" customFormat="1" ht="59.25" hidden="1" customHeight="1">
      <c r="A181" s="750" t="s">
        <v>523</v>
      </c>
      <c r="B181" s="748">
        <v>1035</v>
      </c>
      <c r="C181" s="681" t="s">
        <v>53</v>
      </c>
      <c r="D181" s="681" t="s">
        <v>328</v>
      </c>
      <c r="E181" s="681" t="s">
        <v>54</v>
      </c>
      <c r="F181" s="748" t="s">
        <v>28</v>
      </c>
      <c r="G181" s="409" t="s">
        <v>28</v>
      </c>
      <c r="H181" s="730" t="s">
        <v>28</v>
      </c>
      <c r="I181" s="555" t="s">
        <v>329</v>
      </c>
      <c r="J181" s="555" t="s">
        <v>180</v>
      </c>
      <c r="K181" s="276" t="s">
        <v>305</v>
      </c>
      <c r="L181" s="748" t="s">
        <v>37</v>
      </c>
      <c r="M181" s="748" t="s">
        <v>29</v>
      </c>
      <c r="N181" s="46">
        <v>0</v>
      </c>
      <c r="O181" s="383">
        <v>0</v>
      </c>
      <c r="P181" s="46">
        <v>0</v>
      </c>
      <c r="Q181" s="46">
        <v>0</v>
      </c>
      <c r="R181" s="46">
        <v>0</v>
      </c>
    </row>
    <row r="182" spans="1:18" s="95" customFormat="1" ht="59.25" hidden="1" customHeight="1">
      <c r="A182" s="945" t="s">
        <v>728</v>
      </c>
      <c r="B182" s="31">
        <v>1036</v>
      </c>
      <c r="C182" s="717"/>
      <c r="D182" s="717"/>
      <c r="E182" s="717"/>
      <c r="F182" s="31"/>
      <c r="G182" s="31"/>
      <c r="H182" s="31"/>
      <c r="I182" s="233"/>
      <c r="J182" s="233"/>
      <c r="K182" s="234"/>
      <c r="L182" s="31"/>
      <c r="M182" s="31"/>
      <c r="N182" s="171">
        <f t="shared" ref="N182:Q182" si="18">SUM(N183:N184)</f>
        <v>0</v>
      </c>
      <c r="O182" s="171">
        <f t="shared" si="18"/>
        <v>0</v>
      </c>
      <c r="P182" s="171">
        <f t="shared" si="18"/>
        <v>0</v>
      </c>
      <c r="Q182" s="171">
        <f t="shared" si="18"/>
        <v>0</v>
      </c>
      <c r="R182" s="171">
        <f t="shared" ref="R182" si="19">SUM(R183:R184)</f>
        <v>0</v>
      </c>
    </row>
    <row r="183" spans="1:18" s="95" customFormat="1" ht="59.25" hidden="1" customHeight="1">
      <c r="A183" s="917"/>
      <c r="B183" s="680"/>
      <c r="C183" s="680"/>
      <c r="D183" s="680"/>
      <c r="E183" s="680"/>
      <c r="F183" s="680"/>
      <c r="G183" s="680"/>
      <c r="H183" s="680"/>
      <c r="I183" s="925" t="s">
        <v>1011</v>
      </c>
      <c r="J183" s="810" t="s">
        <v>70</v>
      </c>
      <c r="K183" s="810" t="s">
        <v>743</v>
      </c>
      <c r="L183" s="356"/>
      <c r="M183" s="356"/>
      <c r="N183" s="357"/>
      <c r="O183" s="357"/>
      <c r="P183" s="357"/>
      <c r="Q183" s="357"/>
      <c r="R183" s="357"/>
    </row>
    <row r="184" spans="1:18" s="95" customFormat="1" ht="59.25" hidden="1" customHeight="1">
      <c r="A184" s="949"/>
      <c r="B184" s="688"/>
      <c r="C184" s="688"/>
      <c r="D184" s="688"/>
      <c r="E184" s="688"/>
      <c r="F184" s="688"/>
      <c r="G184" s="688"/>
      <c r="H184" s="688"/>
      <c r="I184" s="926"/>
      <c r="J184" s="851"/>
      <c r="K184" s="851"/>
      <c r="L184" s="352" t="s">
        <v>37</v>
      </c>
      <c r="M184" s="352" t="s">
        <v>29</v>
      </c>
      <c r="N184" s="358">
        <v>0</v>
      </c>
      <c r="O184" s="358">
        <v>0</v>
      </c>
      <c r="P184" s="358">
        <v>0</v>
      </c>
      <c r="Q184" s="358">
        <v>0</v>
      </c>
      <c r="R184" s="358">
        <v>0</v>
      </c>
    </row>
    <row r="185" spans="1:18" s="95" customFormat="1" ht="35.25" customHeight="1">
      <c r="A185" s="749" t="s">
        <v>524</v>
      </c>
      <c r="B185" s="747">
        <v>1040</v>
      </c>
      <c r="C185" s="680"/>
      <c r="D185" s="680"/>
      <c r="E185" s="680"/>
      <c r="F185" s="747"/>
      <c r="G185" s="747"/>
      <c r="H185" s="747"/>
      <c r="I185" s="735"/>
      <c r="J185" s="735"/>
      <c r="K185" s="173"/>
      <c r="L185" s="747"/>
      <c r="M185" s="747"/>
      <c r="N185" s="29">
        <f t="shared" ref="N185:R185" si="20">SUM(N186)</f>
        <v>731.25699999999995</v>
      </c>
      <c r="O185" s="29">
        <f t="shared" si="20"/>
        <v>731.25699999999995</v>
      </c>
      <c r="P185" s="29">
        <f t="shared" si="20"/>
        <v>846.67</v>
      </c>
      <c r="Q185" s="29">
        <f t="shared" si="20"/>
        <v>0</v>
      </c>
      <c r="R185" s="29">
        <f t="shared" si="20"/>
        <v>0</v>
      </c>
    </row>
    <row r="186" spans="1:18" s="94" customFormat="1" ht="85.5" customHeight="1">
      <c r="A186" s="83" t="s">
        <v>652</v>
      </c>
      <c r="B186" s="663"/>
      <c r="C186" s="663" t="s">
        <v>653</v>
      </c>
      <c r="D186" s="663" t="s">
        <v>85</v>
      </c>
      <c r="E186" s="663" t="s">
        <v>86</v>
      </c>
      <c r="F186" s="663"/>
      <c r="G186" s="83"/>
      <c r="H186" s="83"/>
      <c r="I186" s="712" t="s">
        <v>654</v>
      </c>
      <c r="J186" s="712" t="s">
        <v>655</v>
      </c>
      <c r="K186" s="143" t="s">
        <v>82</v>
      </c>
      <c r="L186" s="663" t="s">
        <v>34</v>
      </c>
      <c r="M186" s="663" t="s">
        <v>30</v>
      </c>
      <c r="N186" s="87">
        <v>731.25699999999995</v>
      </c>
      <c r="O186" s="87">
        <v>731.25699999999995</v>
      </c>
      <c r="P186" s="87">
        <v>846.67</v>
      </c>
      <c r="Q186" s="87">
        <v>0</v>
      </c>
      <c r="R186" s="87">
        <v>0</v>
      </c>
    </row>
    <row r="187" spans="1:18" s="95" customFormat="1" ht="36" customHeight="1">
      <c r="A187" s="45" t="s">
        <v>525</v>
      </c>
      <c r="B187" s="748">
        <v>1041</v>
      </c>
      <c r="C187" s="45"/>
      <c r="D187" s="45"/>
      <c r="E187" s="45"/>
      <c r="F187" s="45"/>
      <c r="G187" s="45"/>
      <c r="H187" s="45"/>
      <c r="I187" s="45"/>
      <c r="J187" s="45"/>
      <c r="K187" s="45"/>
      <c r="L187" s="748"/>
      <c r="M187" s="409"/>
      <c r="N187" s="62">
        <f t="shared" ref="N187:R187" si="21">SUM(N188:N192)</f>
        <v>255.08</v>
      </c>
      <c r="O187" s="62">
        <f t="shared" si="21"/>
        <v>241.48</v>
      </c>
      <c r="P187" s="62">
        <f t="shared" si="21"/>
        <v>440</v>
      </c>
      <c r="Q187" s="62">
        <f t="shared" si="21"/>
        <v>0</v>
      </c>
      <c r="R187" s="62">
        <f t="shared" si="21"/>
        <v>405</v>
      </c>
    </row>
    <row r="188" spans="1:18" s="94" customFormat="1" ht="96" customHeight="1">
      <c r="A188" s="42" t="s">
        <v>656</v>
      </c>
      <c r="B188" s="680"/>
      <c r="C188" s="691" t="s">
        <v>53</v>
      </c>
      <c r="D188" s="691" t="s">
        <v>107</v>
      </c>
      <c r="E188" s="691" t="s">
        <v>54</v>
      </c>
      <c r="F188" s="42" t="s">
        <v>28</v>
      </c>
      <c r="G188" s="42" t="s">
        <v>28</v>
      </c>
      <c r="H188" s="42" t="s">
        <v>28</v>
      </c>
      <c r="I188" s="110" t="s">
        <v>1012</v>
      </c>
      <c r="J188" s="110" t="s">
        <v>64</v>
      </c>
      <c r="K188" s="110" t="s">
        <v>108</v>
      </c>
      <c r="L188" s="856" t="s">
        <v>34</v>
      </c>
      <c r="M188" s="854" t="s">
        <v>32</v>
      </c>
      <c r="N188" s="52">
        <v>255.08</v>
      </c>
      <c r="O188" s="386">
        <v>241.48</v>
      </c>
      <c r="P188" s="128">
        <v>440</v>
      </c>
      <c r="Q188" s="128">
        <v>0</v>
      </c>
      <c r="R188" s="128">
        <v>405</v>
      </c>
    </row>
    <row r="189" spans="1:18" s="94" customFormat="1" ht="74.25" customHeight="1">
      <c r="A189" s="35"/>
      <c r="B189" s="681"/>
      <c r="C189" s="638"/>
      <c r="D189" s="638"/>
      <c r="E189" s="638"/>
      <c r="F189" s="35"/>
      <c r="G189" s="35"/>
      <c r="H189" s="35"/>
      <c r="I189" s="727" t="s">
        <v>1517</v>
      </c>
      <c r="J189" s="727" t="s">
        <v>64</v>
      </c>
      <c r="K189" s="727" t="s">
        <v>1038</v>
      </c>
      <c r="L189" s="857"/>
      <c r="M189" s="855"/>
      <c r="N189" s="37"/>
      <c r="O189" s="387"/>
      <c r="P189" s="129"/>
      <c r="Q189" s="129"/>
      <c r="R189" s="129"/>
    </row>
    <row r="190" spans="1:18" s="94" customFormat="1" ht="74.25" customHeight="1">
      <c r="A190" s="35"/>
      <c r="B190" s="681"/>
      <c r="C190" s="638"/>
      <c r="D190" s="638"/>
      <c r="E190" s="638"/>
      <c r="F190" s="35"/>
      <c r="G190" s="35"/>
      <c r="H190" s="35"/>
      <c r="I190" s="727" t="s">
        <v>778</v>
      </c>
      <c r="J190" s="727" t="s">
        <v>64</v>
      </c>
      <c r="K190" s="727" t="s">
        <v>476</v>
      </c>
      <c r="L190" s="60"/>
      <c r="M190" s="705"/>
      <c r="N190" s="37"/>
      <c r="O190" s="387"/>
      <c r="P190" s="129"/>
      <c r="Q190" s="129"/>
      <c r="R190" s="129"/>
    </row>
    <row r="191" spans="1:18" s="94" customFormat="1" ht="63" customHeight="1">
      <c r="A191" s="35"/>
      <c r="B191" s="681"/>
      <c r="C191" s="638"/>
      <c r="D191" s="638"/>
      <c r="E191" s="638"/>
      <c r="F191" s="811" t="s">
        <v>1006</v>
      </c>
      <c r="G191" s="681" t="s">
        <v>64</v>
      </c>
      <c r="H191" s="681" t="s">
        <v>476</v>
      </c>
      <c r="I191" s="692" t="s">
        <v>380</v>
      </c>
      <c r="J191" s="692" t="s">
        <v>64</v>
      </c>
      <c r="K191" s="692" t="s">
        <v>65</v>
      </c>
      <c r="L191" s="60"/>
      <c r="M191" s="681"/>
      <c r="N191" s="43"/>
      <c r="O191" s="388"/>
      <c r="P191" s="229"/>
      <c r="Q191" s="229"/>
      <c r="R191" s="229"/>
    </row>
    <row r="192" spans="1:18" s="94" customFormat="1" ht="95.25" customHeight="1">
      <c r="A192" s="35"/>
      <c r="B192" s="707"/>
      <c r="C192" s="638"/>
      <c r="D192" s="638"/>
      <c r="E192" s="638"/>
      <c r="F192" s="851"/>
      <c r="G192" s="35"/>
      <c r="H192" s="35"/>
      <c r="I192" s="692" t="s">
        <v>1266</v>
      </c>
      <c r="J192" s="692" t="s">
        <v>64</v>
      </c>
      <c r="K192" s="692" t="s">
        <v>1095</v>
      </c>
      <c r="L192" s="60"/>
      <c r="M192" s="681"/>
      <c r="N192" s="43"/>
      <c r="O192" s="388"/>
      <c r="P192" s="229"/>
      <c r="Q192" s="229"/>
      <c r="R192" s="229"/>
    </row>
    <row r="193" spans="1:18" s="94" customFormat="1" ht="22.5" customHeight="1">
      <c r="A193" s="30" t="s">
        <v>527</v>
      </c>
      <c r="B193" s="137" t="s">
        <v>526</v>
      </c>
      <c r="C193" s="18"/>
      <c r="D193" s="18"/>
      <c r="E193" s="18"/>
      <c r="F193" s="18"/>
      <c r="G193" s="18"/>
      <c r="H193" s="174"/>
      <c r="I193" s="162"/>
      <c r="J193" s="162"/>
      <c r="K193" s="162"/>
      <c r="L193" s="717"/>
      <c r="M193" s="717"/>
      <c r="N193" s="171">
        <f>SUM(N194:N199)</f>
        <v>3250</v>
      </c>
      <c r="O193" s="171">
        <f>SUM(O194:O199)</f>
        <v>2939.3040000000001</v>
      </c>
      <c r="P193" s="171">
        <f>SUM(P194:P199)</f>
        <v>1600</v>
      </c>
      <c r="Q193" s="171">
        <f>SUM(Q194:Q199)</f>
        <v>100</v>
      </c>
      <c r="R193" s="171">
        <f>SUM(R194:R199)</f>
        <v>100</v>
      </c>
    </row>
    <row r="194" spans="1:18" s="94" customFormat="1" ht="60.75" customHeight="1">
      <c r="A194" s="35"/>
      <c r="B194" s="681"/>
      <c r="C194" s="691" t="s">
        <v>53</v>
      </c>
      <c r="D194" s="691" t="s">
        <v>107</v>
      </c>
      <c r="E194" s="691" t="s">
        <v>54</v>
      </c>
      <c r="F194" s="931" t="s">
        <v>779</v>
      </c>
      <c r="G194" s="931" t="s">
        <v>780</v>
      </c>
      <c r="H194" s="692" t="s">
        <v>810</v>
      </c>
      <c r="I194" s="692" t="s">
        <v>1507</v>
      </c>
      <c r="J194" s="692" t="s">
        <v>64</v>
      </c>
      <c r="K194" s="692" t="s">
        <v>1267</v>
      </c>
      <c r="L194" s="60" t="s">
        <v>34</v>
      </c>
      <c r="M194" s="705">
        <v>12</v>
      </c>
      <c r="N194" s="37">
        <f>2250+100</f>
        <v>2350</v>
      </c>
      <c r="O194" s="387">
        <f>1939.304+100</f>
        <v>2039.3040000000001</v>
      </c>
      <c r="P194" s="129">
        <f>100+600</f>
        <v>700</v>
      </c>
      <c r="Q194" s="129">
        <v>100</v>
      </c>
      <c r="R194" s="129">
        <v>100</v>
      </c>
    </row>
    <row r="195" spans="1:18" s="94" customFormat="1" ht="71.25" customHeight="1">
      <c r="A195" s="35"/>
      <c r="B195" s="681"/>
      <c r="C195" s="649"/>
      <c r="D195" s="649"/>
      <c r="E195" s="649"/>
      <c r="F195" s="794"/>
      <c r="G195" s="794"/>
      <c r="H195" s="140"/>
      <c r="I195" s="692" t="s">
        <v>109</v>
      </c>
      <c r="J195" s="692" t="s">
        <v>64</v>
      </c>
      <c r="K195" s="692" t="s">
        <v>110</v>
      </c>
      <c r="L195" s="47"/>
      <c r="M195" s="705"/>
      <c r="N195" s="37"/>
      <c r="O195" s="387"/>
      <c r="P195" s="129"/>
      <c r="Q195" s="129"/>
      <c r="R195" s="129"/>
    </row>
    <row r="196" spans="1:18" s="94" customFormat="1" ht="82.5" customHeight="1">
      <c r="A196" s="35"/>
      <c r="B196" s="681"/>
      <c r="C196" s="638"/>
      <c r="D196" s="638"/>
      <c r="E196" s="638"/>
      <c r="F196" s="794"/>
      <c r="G196" s="794"/>
      <c r="H196" s="140"/>
      <c r="I196" s="692" t="s">
        <v>1466</v>
      </c>
      <c r="J196" s="692" t="s">
        <v>64</v>
      </c>
      <c r="K196" s="692" t="s">
        <v>657</v>
      </c>
      <c r="L196" s="47"/>
      <c r="M196" s="705"/>
      <c r="N196" s="37"/>
      <c r="O196" s="387"/>
      <c r="P196" s="129"/>
      <c r="Q196" s="129"/>
      <c r="R196" s="129"/>
    </row>
    <row r="197" spans="1:18" s="94" customFormat="1" ht="96">
      <c r="A197" s="412"/>
      <c r="B197" s="736"/>
      <c r="C197" s="471"/>
      <c r="D197" s="471"/>
      <c r="E197" s="471"/>
      <c r="F197" s="472"/>
      <c r="G197" s="472"/>
      <c r="H197" s="472"/>
      <c r="I197" s="672" t="s">
        <v>1547</v>
      </c>
      <c r="J197" s="672" t="s">
        <v>64</v>
      </c>
      <c r="K197" s="672" t="s">
        <v>1259</v>
      </c>
      <c r="L197" s="47"/>
      <c r="M197" s="521"/>
      <c r="N197" s="369"/>
      <c r="O197" s="387"/>
      <c r="P197" s="387"/>
      <c r="Q197" s="387"/>
      <c r="R197" s="387"/>
    </row>
    <row r="198" spans="1:18" s="94" customFormat="1" ht="50.25" customHeight="1">
      <c r="A198" s="35"/>
      <c r="B198" s="681"/>
      <c r="C198" s="638"/>
      <c r="D198" s="638"/>
      <c r="E198" s="638"/>
      <c r="F198" s="140"/>
      <c r="G198" s="140"/>
      <c r="H198" s="140"/>
      <c r="I198" s="692" t="s">
        <v>83</v>
      </c>
      <c r="J198" s="692" t="s">
        <v>64</v>
      </c>
      <c r="K198" s="692" t="s">
        <v>67</v>
      </c>
      <c r="L198" s="47"/>
      <c r="M198" s="705"/>
      <c r="N198" s="37"/>
      <c r="O198" s="387"/>
      <c r="P198" s="129"/>
      <c r="Q198" s="129"/>
      <c r="R198" s="129"/>
    </row>
    <row r="199" spans="1:18" s="94" customFormat="1" ht="83.25" customHeight="1">
      <c r="A199" s="35"/>
      <c r="B199" s="707" t="s">
        <v>504</v>
      </c>
      <c r="C199" s="638"/>
      <c r="D199" s="638"/>
      <c r="E199" s="638"/>
      <c r="F199" s="638"/>
      <c r="G199" s="638"/>
      <c r="H199" s="638"/>
      <c r="I199" s="692" t="s">
        <v>1553</v>
      </c>
      <c r="J199" s="692" t="s">
        <v>64</v>
      </c>
      <c r="K199" s="692" t="s">
        <v>1554</v>
      </c>
      <c r="L199" s="681"/>
      <c r="M199" s="705"/>
      <c r="N199" s="37">
        <v>900</v>
      </c>
      <c r="O199" s="387">
        <v>900</v>
      </c>
      <c r="P199" s="129">
        <v>900</v>
      </c>
      <c r="Q199" s="129">
        <v>0</v>
      </c>
      <c r="R199" s="129">
        <v>0</v>
      </c>
    </row>
    <row r="200" spans="1:18" s="95" customFormat="1" ht="70.5" customHeight="1">
      <c r="A200" s="28" t="s">
        <v>529</v>
      </c>
      <c r="B200" s="709" t="s">
        <v>528</v>
      </c>
      <c r="C200" s="691" t="s">
        <v>165</v>
      </c>
      <c r="D200" s="691" t="s">
        <v>166</v>
      </c>
      <c r="E200" s="691" t="s">
        <v>167</v>
      </c>
      <c r="F200" s="691"/>
      <c r="G200" s="691"/>
      <c r="H200" s="691"/>
      <c r="I200" s="209" t="s">
        <v>168</v>
      </c>
      <c r="J200" s="110" t="s">
        <v>64</v>
      </c>
      <c r="K200" s="110" t="s">
        <v>169</v>
      </c>
      <c r="L200" s="747" t="s">
        <v>29</v>
      </c>
      <c r="M200" s="747" t="s">
        <v>23</v>
      </c>
      <c r="N200" s="29">
        <v>1929.47</v>
      </c>
      <c r="O200" s="385">
        <v>1929.376</v>
      </c>
      <c r="P200" s="29">
        <v>1919.1</v>
      </c>
      <c r="Q200" s="29">
        <v>0</v>
      </c>
      <c r="R200" s="29">
        <v>0</v>
      </c>
    </row>
    <row r="201" spans="1:18" s="95" customFormat="1" ht="71.25" hidden="1" customHeight="1">
      <c r="A201" s="750"/>
      <c r="B201" s="707" t="s">
        <v>1034</v>
      </c>
      <c r="C201" s="692"/>
      <c r="D201" s="692"/>
      <c r="E201" s="692"/>
      <c r="F201" s="950" t="s">
        <v>461</v>
      </c>
      <c r="G201" s="920" t="s">
        <v>695</v>
      </c>
      <c r="H201" s="920" t="s">
        <v>462</v>
      </c>
      <c r="I201" s="207" t="s">
        <v>1026</v>
      </c>
      <c r="J201" s="727" t="s">
        <v>64</v>
      </c>
      <c r="K201" s="727" t="s">
        <v>1027</v>
      </c>
      <c r="L201" s="748"/>
      <c r="M201" s="748"/>
      <c r="N201" s="46">
        <v>0</v>
      </c>
      <c r="O201" s="383"/>
      <c r="P201" s="46"/>
      <c r="Q201" s="46"/>
      <c r="R201" s="46"/>
    </row>
    <row r="202" spans="1:18" s="95" customFormat="1" ht="72.75" hidden="1" customHeight="1">
      <c r="A202" s="753"/>
      <c r="B202" s="58"/>
      <c r="C202" s="693"/>
      <c r="D202" s="693"/>
      <c r="E202" s="693"/>
      <c r="F202" s="1004"/>
      <c r="G202" s="928"/>
      <c r="H202" s="928"/>
      <c r="I202" s="264" t="s">
        <v>1240</v>
      </c>
      <c r="J202" s="259" t="s">
        <v>64</v>
      </c>
      <c r="K202" s="259" t="s">
        <v>1241</v>
      </c>
      <c r="L202" s="500"/>
      <c r="M202" s="500"/>
      <c r="N202" s="78"/>
      <c r="O202" s="389"/>
      <c r="P202" s="78"/>
      <c r="Q202" s="78"/>
      <c r="R202" s="78"/>
    </row>
    <row r="203" spans="1:18" s="94" customFormat="1" ht="48.75" customHeight="1">
      <c r="A203" s="28" t="s">
        <v>531</v>
      </c>
      <c r="B203" s="709" t="s">
        <v>530</v>
      </c>
      <c r="C203" s="543"/>
      <c r="D203" s="543"/>
      <c r="E203" s="543"/>
      <c r="F203" s="543"/>
      <c r="G203" s="543"/>
      <c r="H203" s="175"/>
      <c r="I203" s="110"/>
      <c r="J203" s="110"/>
      <c r="K203" s="110"/>
      <c r="L203" s="680"/>
      <c r="M203" s="680"/>
      <c r="N203" s="29">
        <f t="shared" ref="N203:R203" si="22">SUM(N205:N206)</f>
        <v>5714.9</v>
      </c>
      <c r="O203" s="29">
        <f t="shared" si="22"/>
        <v>5714.9</v>
      </c>
      <c r="P203" s="29">
        <f t="shared" si="22"/>
        <v>2498</v>
      </c>
      <c r="Q203" s="29">
        <f t="shared" si="22"/>
        <v>1540.3</v>
      </c>
      <c r="R203" s="29">
        <f t="shared" si="22"/>
        <v>1540.3</v>
      </c>
    </row>
    <row r="204" spans="1:18" s="95" customFormat="1" ht="12">
      <c r="A204" s="30" t="s">
        <v>89</v>
      </c>
      <c r="B204" s="31"/>
      <c r="C204" s="30"/>
      <c r="D204" s="30"/>
      <c r="E204" s="30"/>
      <c r="F204" s="30"/>
      <c r="G204" s="30"/>
      <c r="H204" s="30"/>
      <c r="I204" s="30"/>
      <c r="J204" s="30"/>
      <c r="K204" s="30"/>
      <c r="L204" s="747"/>
      <c r="M204" s="274"/>
      <c r="N204" s="127"/>
      <c r="O204" s="363"/>
      <c r="P204" s="127"/>
      <c r="Q204" s="127"/>
      <c r="R204" s="127"/>
    </row>
    <row r="205" spans="1:18" s="96" customFormat="1" ht="12">
      <c r="A205" s="67"/>
      <c r="B205" s="34"/>
      <c r="C205" s="67"/>
      <c r="D205" s="67"/>
      <c r="E205" s="67"/>
      <c r="F205" s="67"/>
      <c r="G205" s="67"/>
      <c r="H205" s="67"/>
      <c r="I205" s="67"/>
      <c r="J205" s="67"/>
      <c r="K205" s="67"/>
      <c r="L205" s="68" t="s">
        <v>21</v>
      </c>
      <c r="M205" s="120" t="s">
        <v>29</v>
      </c>
      <c r="N205" s="568">
        <f>N207+N208+N210+N211</f>
        <v>5714.9</v>
      </c>
      <c r="O205" s="568">
        <f t="shared" ref="O205:R205" si="23">O207+O208+O210+O211</f>
        <v>5714.9</v>
      </c>
      <c r="P205" s="568">
        <f t="shared" si="23"/>
        <v>2498</v>
      </c>
      <c r="Q205" s="568">
        <f t="shared" si="23"/>
        <v>1540.3</v>
      </c>
      <c r="R205" s="568">
        <f t="shared" si="23"/>
        <v>1540.3</v>
      </c>
    </row>
    <row r="206" spans="1:18" s="96" customFormat="1" ht="12">
      <c r="A206" s="70"/>
      <c r="B206" s="98"/>
      <c r="C206" s="70"/>
      <c r="D206" s="70"/>
      <c r="E206" s="70"/>
      <c r="F206" s="70"/>
      <c r="G206" s="70"/>
      <c r="H206" s="70"/>
      <c r="I206" s="70"/>
      <c r="J206" s="70"/>
      <c r="K206" s="70"/>
      <c r="L206" s="71" t="s">
        <v>21</v>
      </c>
      <c r="M206" s="71" t="s">
        <v>38</v>
      </c>
      <c r="N206" s="160"/>
      <c r="O206" s="160"/>
      <c r="P206" s="160"/>
      <c r="Q206" s="160"/>
      <c r="R206" s="160"/>
    </row>
    <row r="207" spans="1:18" s="94" customFormat="1" ht="123" customHeight="1">
      <c r="A207" s="948" t="s">
        <v>690</v>
      </c>
      <c r="B207" s="681"/>
      <c r="C207" s="697" t="s">
        <v>53</v>
      </c>
      <c r="D207" s="697" t="s">
        <v>112</v>
      </c>
      <c r="E207" s="697" t="s">
        <v>54</v>
      </c>
      <c r="F207" s="697" t="s">
        <v>416</v>
      </c>
      <c r="G207" s="697" t="s">
        <v>418</v>
      </c>
      <c r="H207" s="697" t="s">
        <v>417</v>
      </c>
      <c r="I207" s="697" t="s">
        <v>1268</v>
      </c>
      <c r="J207" s="697" t="s">
        <v>113</v>
      </c>
      <c r="K207" s="760" t="s">
        <v>114</v>
      </c>
      <c r="L207" s="552" t="s">
        <v>21</v>
      </c>
      <c r="M207" s="121" t="s">
        <v>29</v>
      </c>
      <c r="N207" s="37">
        <f>4459+1255.9</f>
        <v>5714.9</v>
      </c>
      <c r="O207" s="372">
        <v>5714.9</v>
      </c>
      <c r="P207" s="73">
        <v>2498</v>
      </c>
      <c r="Q207" s="73">
        <v>1540.3</v>
      </c>
      <c r="R207" s="73">
        <v>1540.3</v>
      </c>
    </row>
    <row r="208" spans="1:18" s="94" customFormat="1" ht="50.25" customHeight="1">
      <c r="A208" s="948"/>
      <c r="B208" s="681"/>
      <c r="C208" s="692"/>
      <c r="D208" s="692"/>
      <c r="E208" s="692"/>
      <c r="F208" s="692"/>
      <c r="G208" s="692"/>
      <c r="H208" s="692"/>
      <c r="I208" s="692" t="s">
        <v>423</v>
      </c>
      <c r="J208" s="692" t="s">
        <v>64</v>
      </c>
      <c r="K208" s="692" t="s">
        <v>401</v>
      </c>
      <c r="L208" s="707"/>
      <c r="M208" s="118"/>
      <c r="N208" s="37"/>
      <c r="O208" s="372"/>
      <c r="P208" s="73"/>
      <c r="Q208" s="73"/>
      <c r="R208" s="73"/>
    </row>
    <row r="209" spans="1:18" s="94" customFormat="1" ht="85.5" customHeight="1">
      <c r="A209" s="752"/>
      <c r="B209" s="681"/>
      <c r="C209" s="692"/>
      <c r="D209" s="692"/>
      <c r="E209" s="692"/>
      <c r="F209" s="692"/>
      <c r="G209" s="692"/>
      <c r="H209" s="703"/>
      <c r="I209" s="697" t="s">
        <v>901</v>
      </c>
      <c r="J209" s="697" t="s">
        <v>64</v>
      </c>
      <c r="K209" s="697" t="s">
        <v>106</v>
      </c>
      <c r="L209" s="551"/>
      <c r="M209" s="551"/>
      <c r="N209" s="57"/>
      <c r="O209" s="89"/>
      <c r="P209" s="89"/>
      <c r="Q209" s="89"/>
      <c r="R209" s="89"/>
    </row>
    <row r="210" spans="1:18" s="94" customFormat="1" ht="48" hidden="1">
      <c r="A210" s="35" t="s">
        <v>691</v>
      </c>
      <c r="B210" s="681">
        <v>567</v>
      </c>
      <c r="C210" s="35"/>
      <c r="D210" s="35"/>
      <c r="E210" s="35"/>
      <c r="F210" s="826" t="s">
        <v>781</v>
      </c>
      <c r="G210" s="826" t="s">
        <v>782</v>
      </c>
      <c r="H210" s="848" t="s">
        <v>810</v>
      </c>
      <c r="I210" s="504" t="s">
        <v>1120</v>
      </c>
      <c r="J210" s="504" t="s">
        <v>64</v>
      </c>
      <c r="K210" s="248" t="s">
        <v>1121</v>
      </c>
      <c r="L210" s="719">
        <v>11</v>
      </c>
      <c r="M210" s="552" t="s">
        <v>29</v>
      </c>
      <c r="N210" s="37">
        <v>0</v>
      </c>
      <c r="O210" s="372">
        <v>0</v>
      </c>
      <c r="P210" s="73">
        <v>0</v>
      </c>
      <c r="Q210" s="73">
        <v>0</v>
      </c>
      <c r="R210" s="73">
        <v>0</v>
      </c>
    </row>
    <row r="211" spans="1:18" s="94" customFormat="1" ht="59.25" hidden="1" customHeight="1">
      <c r="A211" s="35"/>
      <c r="B211" s="681"/>
      <c r="C211" s="35"/>
      <c r="D211" s="35"/>
      <c r="E211" s="35"/>
      <c r="F211" s="826"/>
      <c r="G211" s="826"/>
      <c r="H211" s="848"/>
      <c r="I211" s="716" t="s">
        <v>83</v>
      </c>
      <c r="J211" s="716" t="s">
        <v>64</v>
      </c>
      <c r="K211" s="716" t="s">
        <v>67</v>
      </c>
      <c r="L211" s="719"/>
      <c r="M211" s="719"/>
      <c r="N211" s="37"/>
      <c r="O211" s="372"/>
      <c r="P211" s="73"/>
      <c r="Q211" s="73"/>
      <c r="R211" s="73"/>
    </row>
    <row r="212" spans="1:18" s="95" customFormat="1" ht="47.25" customHeight="1">
      <c r="A212" s="56" t="s">
        <v>532</v>
      </c>
      <c r="B212" s="720">
        <v>1047</v>
      </c>
      <c r="C212" s="56" t="s">
        <v>28</v>
      </c>
      <c r="D212" s="56" t="s">
        <v>28</v>
      </c>
      <c r="E212" s="56" t="s">
        <v>28</v>
      </c>
      <c r="F212" s="56" t="s">
        <v>28</v>
      </c>
      <c r="G212" s="56" t="s">
        <v>28</v>
      </c>
      <c r="H212" s="56" t="s">
        <v>28</v>
      </c>
      <c r="I212" s="56" t="s">
        <v>28</v>
      </c>
      <c r="J212" s="56" t="s">
        <v>28</v>
      </c>
      <c r="K212" s="56" t="s">
        <v>28</v>
      </c>
      <c r="L212" s="720"/>
      <c r="M212" s="720"/>
      <c r="N212" s="82">
        <f>SUM(N214:N215)</f>
        <v>5711.6989999999996</v>
      </c>
      <c r="O212" s="82">
        <f t="shared" ref="O212:R212" si="24">SUM(O214:O215)</f>
        <v>5660.8329999999996</v>
      </c>
      <c r="P212" s="82">
        <f t="shared" si="24"/>
        <v>9840.0670000000009</v>
      </c>
      <c r="Q212" s="82">
        <f t="shared" si="24"/>
        <v>6689.1</v>
      </c>
      <c r="R212" s="82">
        <f t="shared" si="24"/>
        <v>5421.2</v>
      </c>
    </row>
    <row r="213" spans="1:18" s="95" customFormat="1" ht="12">
      <c r="A213" s="77" t="s">
        <v>89</v>
      </c>
      <c r="B213" s="500"/>
      <c r="C213" s="77"/>
      <c r="D213" s="77"/>
      <c r="E213" s="77"/>
      <c r="F213" s="77"/>
      <c r="G213" s="77"/>
      <c r="H213" s="77"/>
      <c r="I213" s="77"/>
      <c r="J213" s="77"/>
      <c r="K213" s="77"/>
      <c r="L213" s="748"/>
      <c r="M213" s="409"/>
      <c r="N213" s="62"/>
      <c r="O213" s="390"/>
      <c r="P213" s="62"/>
      <c r="Q213" s="62"/>
      <c r="R213" s="62"/>
    </row>
    <row r="214" spans="1:18" s="96" customFormat="1" ht="12">
      <c r="A214" s="67"/>
      <c r="B214" s="34"/>
      <c r="C214" s="67"/>
      <c r="D214" s="67"/>
      <c r="E214" s="67"/>
      <c r="F214" s="67"/>
      <c r="G214" s="67"/>
      <c r="H214" s="67"/>
      <c r="I214" s="67"/>
      <c r="J214" s="67"/>
      <c r="K214" s="67"/>
      <c r="L214" s="68" t="s">
        <v>21</v>
      </c>
      <c r="M214" s="120" t="s">
        <v>33</v>
      </c>
      <c r="N214" s="568">
        <f t="shared" ref="N214" si="25">N216+N223+N224+N225+N226+N227+N228</f>
        <v>5476.9989999999998</v>
      </c>
      <c r="O214" s="568">
        <f t="shared" ref="O214:R214" si="26">O216+O223+O224+O225+O226+O227+O228</f>
        <v>5426.1329999999998</v>
      </c>
      <c r="P214" s="568">
        <f t="shared" si="26"/>
        <v>5912.8670000000002</v>
      </c>
      <c r="Q214" s="568">
        <f t="shared" si="26"/>
        <v>2772.1</v>
      </c>
      <c r="R214" s="568">
        <f t="shared" si="26"/>
        <v>1498.8</v>
      </c>
    </row>
    <row r="215" spans="1:18" s="96" customFormat="1" ht="12">
      <c r="A215" s="70"/>
      <c r="B215" s="98"/>
      <c r="C215" s="70"/>
      <c r="D215" s="70"/>
      <c r="E215" s="70"/>
      <c r="F215" s="70"/>
      <c r="G215" s="70"/>
      <c r="H215" s="70"/>
      <c r="I215" s="70"/>
      <c r="J215" s="70"/>
      <c r="K215" s="70"/>
      <c r="L215" s="71" t="s">
        <v>21</v>
      </c>
      <c r="M215" s="117" t="s">
        <v>38</v>
      </c>
      <c r="N215" s="160">
        <f>N220+N221+N222</f>
        <v>234.7</v>
      </c>
      <c r="O215" s="160">
        <f t="shared" ref="O215:R215" si="27">O220+O221+O222</f>
        <v>234.7</v>
      </c>
      <c r="P215" s="160">
        <f t="shared" si="27"/>
        <v>3927.2000000000003</v>
      </c>
      <c r="Q215" s="160">
        <f t="shared" si="27"/>
        <v>3917</v>
      </c>
      <c r="R215" s="160">
        <f t="shared" si="27"/>
        <v>3922.4</v>
      </c>
    </row>
    <row r="216" spans="1:18" s="94" customFormat="1" ht="121.5" customHeight="1">
      <c r="A216" s="947"/>
      <c r="B216" s="681"/>
      <c r="C216" s="697" t="s">
        <v>53</v>
      </c>
      <c r="D216" s="697" t="s">
        <v>112</v>
      </c>
      <c r="E216" s="697" t="s">
        <v>54</v>
      </c>
      <c r="F216" s="697" t="s">
        <v>416</v>
      </c>
      <c r="G216" s="697" t="s">
        <v>418</v>
      </c>
      <c r="H216" s="697" t="s">
        <v>417</v>
      </c>
      <c r="I216" s="697" t="s">
        <v>1268</v>
      </c>
      <c r="J216" s="697" t="s">
        <v>113</v>
      </c>
      <c r="K216" s="760" t="s">
        <v>114</v>
      </c>
      <c r="L216" s="718">
        <v>11</v>
      </c>
      <c r="M216" s="550" t="s">
        <v>33</v>
      </c>
      <c r="N216" s="192">
        <f>2045.631+3101.368</f>
        <v>5146.9989999999998</v>
      </c>
      <c r="O216" s="371">
        <f>2045.631+3050.502</f>
        <v>5096.1329999999998</v>
      </c>
      <c r="P216" s="72">
        <f>500+4422.867+90</f>
        <v>5012.8670000000002</v>
      </c>
      <c r="Q216" s="72">
        <v>1872.1</v>
      </c>
      <c r="R216" s="72">
        <v>598.79999999999995</v>
      </c>
    </row>
    <row r="217" spans="1:18" s="94" customFormat="1" ht="48" customHeight="1">
      <c r="A217" s="948"/>
      <c r="B217" s="681"/>
      <c r="C217" s="681" t="s">
        <v>413</v>
      </c>
      <c r="D217" s="681" t="s">
        <v>414</v>
      </c>
      <c r="E217" s="681" t="s">
        <v>415</v>
      </c>
      <c r="F217" s="35"/>
      <c r="G217" s="35"/>
      <c r="H217" s="35"/>
      <c r="I217" s="727" t="s">
        <v>83</v>
      </c>
      <c r="J217" s="727" t="s">
        <v>64</v>
      </c>
      <c r="K217" s="726" t="s">
        <v>67</v>
      </c>
      <c r="L217" s="552"/>
      <c r="M217" s="552"/>
      <c r="N217" s="37"/>
      <c r="O217" s="372"/>
      <c r="P217" s="73"/>
      <c r="Q217" s="73"/>
      <c r="R217" s="73"/>
    </row>
    <row r="218" spans="1:18" s="94" customFormat="1" ht="72" customHeight="1">
      <c r="A218" s="752"/>
      <c r="B218" s="681"/>
      <c r="C218" s="35"/>
      <c r="D218" s="35"/>
      <c r="E218" s="35"/>
      <c r="F218" s="35"/>
      <c r="G218" s="35"/>
      <c r="H218" s="35"/>
      <c r="I218" s="681" t="s">
        <v>1545</v>
      </c>
      <c r="J218" s="35" t="s">
        <v>64</v>
      </c>
      <c r="K218" s="291" t="s">
        <v>1035</v>
      </c>
      <c r="L218" s="719"/>
      <c r="M218" s="552"/>
      <c r="N218" s="37"/>
      <c r="O218" s="372"/>
      <c r="P218" s="73"/>
      <c r="Q218" s="73"/>
      <c r="R218" s="73"/>
    </row>
    <row r="219" spans="1:18" s="94" customFormat="1" ht="145.5" customHeight="1">
      <c r="A219" s="752"/>
      <c r="B219" s="681"/>
      <c r="C219" s="35"/>
      <c r="D219" s="35"/>
      <c r="E219" s="35"/>
      <c r="F219" s="35"/>
      <c r="G219" s="35"/>
      <c r="H219" s="35"/>
      <c r="I219" s="703" t="s">
        <v>739</v>
      </c>
      <c r="J219" s="697" t="s">
        <v>64</v>
      </c>
      <c r="K219" s="760" t="s">
        <v>403</v>
      </c>
      <c r="L219" s="551"/>
      <c r="M219" s="551"/>
      <c r="N219" s="57"/>
      <c r="O219" s="89"/>
      <c r="P219" s="89"/>
      <c r="Q219" s="89"/>
      <c r="R219" s="89"/>
    </row>
    <row r="220" spans="1:18" s="94" customFormat="1" ht="59.25" hidden="1" customHeight="1">
      <c r="A220" s="752"/>
      <c r="B220" s="707" t="s">
        <v>314</v>
      </c>
      <c r="C220" s="35"/>
      <c r="D220" s="35"/>
      <c r="E220" s="35"/>
      <c r="F220" s="826" t="s">
        <v>781</v>
      </c>
      <c r="G220" s="826" t="s">
        <v>783</v>
      </c>
      <c r="H220" s="848" t="s">
        <v>810</v>
      </c>
      <c r="I220" s="826" t="s">
        <v>1505</v>
      </c>
      <c r="J220" s="692" t="s">
        <v>64</v>
      </c>
      <c r="K220" s="703" t="s">
        <v>819</v>
      </c>
      <c r="L220" s="551" t="s">
        <v>21</v>
      </c>
      <c r="M220" s="551" t="s">
        <v>38</v>
      </c>
      <c r="N220" s="37">
        <v>0</v>
      </c>
      <c r="O220" s="372">
        <v>0</v>
      </c>
      <c r="P220" s="73">
        <v>0</v>
      </c>
      <c r="Q220" s="73">
        <v>0</v>
      </c>
      <c r="R220" s="73">
        <v>0</v>
      </c>
    </row>
    <row r="221" spans="1:18" s="94" customFormat="1" ht="110.25" customHeight="1">
      <c r="A221" s="752"/>
      <c r="B221" s="707"/>
      <c r="C221" s="35"/>
      <c r="D221" s="35"/>
      <c r="E221" s="35"/>
      <c r="F221" s="826"/>
      <c r="G221" s="826"/>
      <c r="H221" s="848"/>
      <c r="I221" s="826"/>
      <c r="J221" s="692" t="s">
        <v>64</v>
      </c>
      <c r="K221" s="703" t="s">
        <v>1506</v>
      </c>
      <c r="L221" s="550" t="s">
        <v>21</v>
      </c>
      <c r="M221" s="768" t="s">
        <v>38</v>
      </c>
      <c r="N221" s="52">
        <v>12.5</v>
      </c>
      <c r="O221" s="373">
        <v>12.5</v>
      </c>
      <c r="P221" s="99">
        <v>3772.3</v>
      </c>
      <c r="Q221" s="99">
        <v>3780.4</v>
      </c>
      <c r="R221" s="99">
        <v>3785.8</v>
      </c>
    </row>
    <row r="222" spans="1:18" s="94" customFormat="1" ht="24">
      <c r="A222" s="752"/>
      <c r="B222" s="707" t="s">
        <v>881</v>
      </c>
      <c r="C222" s="35"/>
      <c r="D222" s="35"/>
      <c r="E222" s="35"/>
      <c r="F222" s="826"/>
      <c r="G222" s="692"/>
      <c r="H222" s="703"/>
      <c r="I222" s="826"/>
      <c r="J222" s="692"/>
      <c r="K222" s="703"/>
      <c r="L222" s="164" t="s">
        <v>21</v>
      </c>
      <c r="M222" s="164" t="s">
        <v>38</v>
      </c>
      <c r="N222" s="172">
        <v>222.2</v>
      </c>
      <c r="O222" s="391">
        <v>222.2</v>
      </c>
      <c r="P222" s="165">
        <v>154.9</v>
      </c>
      <c r="Q222" s="165">
        <v>136.6</v>
      </c>
      <c r="R222" s="165">
        <v>136.6</v>
      </c>
    </row>
    <row r="223" spans="1:18" s="94" customFormat="1" ht="23.25" customHeight="1">
      <c r="A223" s="752"/>
      <c r="B223" s="707"/>
      <c r="C223" s="35"/>
      <c r="D223" s="35"/>
      <c r="E223" s="35"/>
      <c r="F223" s="826" t="s">
        <v>781</v>
      </c>
      <c r="G223" s="826" t="s">
        <v>784</v>
      </c>
      <c r="H223" s="848" t="s">
        <v>810</v>
      </c>
      <c r="I223" s="794" t="s">
        <v>1138</v>
      </c>
      <c r="J223" s="826" t="s">
        <v>64</v>
      </c>
      <c r="K223" s="848" t="s">
        <v>1344</v>
      </c>
      <c r="L223" s="550" t="s">
        <v>21</v>
      </c>
      <c r="M223" s="550" t="s">
        <v>33</v>
      </c>
      <c r="N223" s="87">
        <v>30</v>
      </c>
      <c r="O223" s="91">
        <v>30</v>
      </c>
      <c r="P223" s="91">
        <v>0</v>
      </c>
      <c r="Q223" s="91">
        <v>0</v>
      </c>
      <c r="R223" s="91">
        <v>0</v>
      </c>
    </row>
    <row r="224" spans="1:18" s="94" customFormat="1" ht="75" customHeight="1">
      <c r="A224" s="752"/>
      <c r="B224" s="707" t="s">
        <v>710</v>
      </c>
      <c r="C224" s="35"/>
      <c r="D224" s="35"/>
      <c r="E224" s="35"/>
      <c r="F224" s="826"/>
      <c r="G224" s="826"/>
      <c r="H224" s="848"/>
      <c r="I224" s="794"/>
      <c r="J224" s="826"/>
      <c r="K224" s="848"/>
      <c r="L224" s="164" t="s">
        <v>21</v>
      </c>
      <c r="M224" s="164" t="s">
        <v>33</v>
      </c>
      <c r="N224" s="281">
        <v>300</v>
      </c>
      <c r="O224" s="392">
        <v>300</v>
      </c>
      <c r="P224" s="285">
        <v>900</v>
      </c>
      <c r="Q224" s="260">
        <v>900</v>
      </c>
      <c r="R224" s="260">
        <v>900</v>
      </c>
    </row>
    <row r="225" spans="1:18" s="94" customFormat="1" ht="59.25" hidden="1" customHeight="1">
      <c r="A225" s="752"/>
      <c r="B225" s="707" t="s">
        <v>731</v>
      </c>
      <c r="C225" s="35"/>
      <c r="D225" s="35"/>
      <c r="E225" s="35"/>
      <c r="F225" s="472"/>
      <c r="G225" s="472"/>
      <c r="H225" s="472"/>
      <c r="I225" s="472"/>
      <c r="J225" s="472"/>
      <c r="K225" s="472"/>
      <c r="L225" s="706" t="s">
        <v>21</v>
      </c>
      <c r="M225" s="706" t="s">
        <v>33</v>
      </c>
      <c r="N225" s="15">
        <v>0</v>
      </c>
      <c r="O225" s="393"/>
      <c r="P225" s="246">
        <v>0</v>
      </c>
      <c r="Q225" s="246">
        <v>0</v>
      </c>
      <c r="R225" s="246">
        <v>0</v>
      </c>
    </row>
    <row r="226" spans="1:18" s="94" customFormat="1" ht="59.25" hidden="1" customHeight="1">
      <c r="A226" s="752"/>
      <c r="B226" s="707" t="s">
        <v>765</v>
      </c>
      <c r="C226" s="35"/>
      <c r="D226" s="35"/>
      <c r="E226" s="35"/>
      <c r="F226" s="681"/>
      <c r="G226" s="681"/>
      <c r="H226" s="681"/>
      <c r="I226" s="826" t="s">
        <v>899</v>
      </c>
      <c r="J226" s="826" t="s">
        <v>64</v>
      </c>
      <c r="K226" s="826" t="s">
        <v>900</v>
      </c>
      <c r="L226" s="113" t="s">
        <v>21</v>
      </c>
      <c r="M226" s="553" t="s">
        <v>33</v>
      </c>
      <c r="N226" s="87">
        <v>0</v>
      </c>
      <c r="O226" s="91">
        <v>0</v>
      </c>
      <c r="P226" s="91">
        <v>0</v>
      </c>
      <c r="Q226" s="91">
        <v>0</v>
      </c>
      <c r="R226" s="91">
        <v>0</v>
      </c>
    </row>
    <row r="227" spans="1:18" s="94" customFormat="1" ht="59.25" hidden="1" customHeight="1">
      <c r="A227" s="752"/>
      <c r="B227" s="707" t="s">
        <v>880</v>
      </c>
      <c r="C227" s="35"/>
      <c r="D227" s="35"/>
      <c r="E227" s="35"/>
      <c r="F227" s="681"/>
      <c r="G227" s="681"/>
      <c r="H227" s="681"/>
      <c r="I227" s="826"/>
      <c r="J227" s="826"/>
      <c r="K227" s="826"/>
      <c r="L227" s="113" t="s">
        <v>21</v>
      </c>
      <c r="M227" s="553" t="s">
        <v>33</v>
      </c>
      <c r="N227" s="87">
        <v>0</v>
      </c>
      <c r="O227" s="91">
        <v>0</v>
      </c>
      <c r="P227" s="91">
        <v>0</v>
      </c>
      <c r="Q227" s="91">
        <v>0</v>
      </c>
      <c r="R227" s="91">
        <v>0</v>
      </c>
    </row>
    <row r="228" spans="1:18" s="94" customFormat="1" ht="144" hidden="1" customHeight="1">
      <c r="A228" s="752"/>
      <c r="B228" s="707"/>
      <c r="C228" s="35"/>
      <c r="D228" s="35"/>
      <c r="E228" s="35"/>
      <c r="F228" s="681"/>
      <c r="G228" s="681"/>
      <c r="H228" s="681"/>
      <c r="I228" s="826"/>
      <c r="J228" s="826"/>
      <c r="K228" s="826"/>
      <c r="L228" s="113" t="s">
        <v>21</v>
      </c>
      <c r="M228" s="553" t="s">
        <v>33</v>
      </c>
      <c r="N228" s="87">
        <v>0</v>
      </c>
      <c r="O228" s="91"/>
      <c r="P228" s="91"/>
      <c r="Q228" s="91"/>
      <c r="R228" s="91"/>
    </row>
    <row r="229" spans="1:18" s="95" customFormat="1" ht="36">
      <c r="A229" s="161" t="s">
        <v>533</v>
      </c>
      <c r="B229" s="31">
        <v>1048</v>
      </c>
      <c r="C229" s="30"/>
      <c r="D229" s="30"/>
      <c r="E229" s="30"/>
      <c r="F229" s="30"/>
      <c r="G229" s="30"/>
      <c r="H229" s="30"/>
      <c r="I229" s="2"/>
      <c r="J229" s="2"/>
      <c r="K229" s="2"/>
      <c r="L229" s="500"/>
      <c r="M229" s="125"/>
      <c r="N229" s="55">
        <f t="shared" ref="N229:R229" si="28">SUM(N230:N230)</f>
        <v>253.136</v>
      </c>
      <c r="O229" s="55">
        <f t="shared" si="28"/>
        <v>253.136</v>
      </c>
      <c r="P229" s="55">
        <f t="shared" si="28"/>
        <v>300</v>
      </c>
      <c r="Q229" s="55">
        <f t="shared" si="28"/>
        <v>0</v>
      </c>
      <c r="R229" s="55">
        <f t="shared" si="28"/>
        <v>0</v>
      </c>
    </row>
    <row r="230" spans="1:18" s="94" customFormat="1" ht="73.5" customHeight="1">
      <c r="A230" s="42"/>
      <c r="B230" s="747"/>
      <c r="C230" s="694" t="s">
        <v>115</v>
      </c>
      <c r="D230" s="694" t="s">
        <v>116</v>
      </c>
      <c r="E230" s="694" t="s">
        <v>54</v>
      </c>
      <c r="F230" s="694"/>
      <c r="G230" s="694"/>
      <c r="H230" s="694"/>
      <c r="I230" s="697" t="s">
        <v>785</v>
      </c>
      <c r="J230" s="697" t="s">
        <v>91</v>
      </c>
      <c r="K230" s="697" t="s">
        <v>117</v>
      </c>
      <c r="L230" s="69" t="s">
        <v>40</v>
      </c>
      <c r="M230" s="704" t="s">
        <v>40</v>
      </c>
      <c r="N230" s="52">
        <v>253.136</v>
      </c>
      <c r="O230" s="364">
        <v>253.136</v>
      </c>
      <c r="P230" s="52">
        <v>300</v>
      </c>
      <c r="Q230" s="52">
        <v>0</v>
      </c>
      <c r="R230" s="52">
        <v>0</v>
      </c>
    </row>
    <row r="231" spans="1:18" s="94" customFormat="1" ht="12.75" customHeight="1">
      <c r="A231" s="945" t="s">
        <v>960</v>
      </c>
      <c r="B231" s="31">
        <v>1055</v>
      </c>
      <c r="C231" s="218"/>
      <c r="D231" s="218"/>
      <c r="E231" s="218"/>
      <c r="F231" s="218"/>
      <c r="G231" s="218"/>
      <c r="H231" s="218"/>
      <c r="I231" s="218"/>
      <c r="J231" s="218"/>
      <c r="K231" s="218"/>
      <c r="L231" s="717"/>
      <c r="M231" s="717"/>
      <c r="N231" s="171">
        <f t="shared" ref="N231:R231" si="29">SUM(N232:N234)</f>
        <v>8749.7250000000004</v>
      </c>
      <c r="O231" s="171">
        <f t="shared" si="29"/>
        <v>5651.7759999999998</v>
      </c>
      <c r="P231" s="171">
        <f t="shared" si="29"/>
        <v>18.7</v>
      </c>
      <c r="Q231" s="171">
        <f t="shared" si="29"/>
        <v>0</v>
      </c>
      <c r="R231" s="171">
        <f t="shared" si="29"/>
        <v>0</v>
      </c>
    </row>
    <row r="232" spans="1:18" s="95" customFormat="1" ht="59.25" customHeight="1">
      <c r="A232" s="948"/>
      <c r="B232" s="706" t="s">
        <v>878</v>
      </c>
      <c r="C232" s="680"/>
      <c r="D232" s="680"/>
      <c r="E232" s="680"/>
      <c r="F232" s="810" t="s">
        <v>1096</v>
      </c>
      <c r="G232" s="810" t="s">
        <v>1097</v>
      </c>
      <c r="H232" s="810" t="s">
        <v>810</v>
      </c>
      <c r="I232" s="473" t="s">
        <v>1177</v>
      </c>
      <c r="J232" s="680" t="s">
        <v>64</v>
      </c>
      <c r="K232" s="680" t="s">
        <v>1178</v>
      </c>
      <c r="L232" s="164" t="s">
        <v>34</v>
      </c>
      <c r="M232" s="164" t="s">
        <v>22</v>
      </c>
      <c r="N232" s="172">
        <v>1614.019</v>
      </c>
      <c r="O232" s="394">
        <v>1006.511</v>
      </c>
      <c r="P232" s="172">
        <v>0</v>
      </c>
      <c r="Q232" s="304">
        <v>0</v>
      </c>
      <c r="R232" s="304">
        <v>0</v>
      </c>
    </row>
    <row r="233" spans="1:18" s="95" customFormat="1" ht="12">
      <c r="A233" s="948"/>
      <c r="B233" s="707"/>
      <c r="C233" s="681"/>
      <c r="D233" s="681"/>
      <c r="E233" s="681"/>
      <c r="F233" s="920"/>
      <c r="G233" s="920"/>
      <c r="H233" s="920"/>
      <c r="I233" s="920" t="s">
        <v>1332</v>
      </c>
      <c r="J233" s="681"/>
      <c r="K233" s="681"/>
      <c r="L233" s="164" t="s">
        <v>34</v>
      </c>
      <c r="M233" s="164" t="s">
        <v>22</v>
      </c>
      <c r="N233" s="172">
        <v>107.541</v>
      </c>
      <c r="O233" s="394">
        <v>70.984999999999999</v>
      </c>
      <c r="P233" s="172">
        <v>18.7</v>
      </c>
      <c r="Q233" s="304">
        <v>0</v>
      </c>
      <c r="R233" s="304">
        <v>0</v>
      </c>
    </row>
    <row r="234" spans="1:18" s="95" customFormat="1" ht="48" customHeight="1">
      <c r="A234" s="1002"/>
      <c r="B234" s="300" t="s">
        <v>879</v>
      </c>
      <c r="C234" s="559"/>
      <c r="D234" s="559"/>
      <c r="E234" s="559"/>
      <c r="F234" s="928"/>
      <c r="G234" s="928"/>
      <c r="H234" s="928"/>
      <c r="I234" s="928"/>
      <c r="J234" s="559" t="s">
        <v>64</v>
      </c>
      <c r="K234" s="474" t="s">
        <v>1196</v>
      </c>
      <c r="L234" s="164" t="s">
        <v>34</v>
      </c>
      <c r="M234" s="164" t="s">
        <v>22</v>
      </c>
      <c r="N234" s="172">
        <v>7028.165</v>
      </c>
      <c r="O234" s="394">
        <v>4574.28</v>
      </c>
      <c r="P234" s="172">
        <v>0</v>
      </c>
      <c r="Q234" s="304">
        <v>0</v>
      </c>
      <c r="R234" s="304">
        <v>0</v>
      </c>
    </row>
    <row r="235" spans="1:18" s="95" customFormat="1" ht="12.75" customHeight="1">
      <c r="A235" s="945" t="s">
        <v>961</v>
      </c>
      <c r="B235" s="747">
        <v>1059</v>
      </c>
      <c r="C235" s="744"/>
      <c r="D235" s="744"/>
      <c r="E235" s="744"/>
      <c r="F235" s="744"/>
      <c r="G235" s="744"/>
      <c r="H235" s="744"/>
      <c r="I235" s="209"/>
      <c r="J235" s="110"/>
      <c r="K235" s="110"/>
      <c r="L235" s="747"/>
      <c r="M235" s="747"/>
      <c r="N235" s="29">
        <f>SUM(N236:N244)</f>
        <v>4474.4860000000008</v>
      </c>
      <c r="O235" s="29">
        <f t="shared" ref="O235:R235" si="30">SUM(O236:O244)</f>
        <v>1440.5170000000001</v>
      </c>
      <c r="P235" s="29">
        <f t="shared" si="30"/>
        <v>1653.009</v>
      </c>
      <c r="Q235" s="29">
        <f t="shared" si="30"/>
        <v>521.6</v>
      </c>
      <c r="R235" s="29">
        <f t="shared" si="30"/>
        <v>499.7</v>
      </c>
    </row>
    <row r="236" spans="1:18" s="95" customFormat="1" ht="169.5" customHeight="1">
      <c r="A236" s="917"/>
      <c r="B236" s="747"/>
      <c r="C236" s="744" t="s">
        <v>338</v>
      </c>
      <c r="D236" s="744" t="s">
        <v>171</v>
      </c>
      <c r="E236" s="744" t="s">
        <v>172</v>
      </c>
      <c r="F236" s="744" t="s">
        <v>891</v>
      </c>
      <c r="G236" s="744" t="s">
        <v>385</v>
      </c>
      <c r="H236" s="744" t="s">
        <v>386</v>
      </c>
      <c r="I236" s="209" t="s">
        <v>173</v>
      </c>
      <c r="J236" s="110" t="s">
        <v>884</v>
      </c>
      <c r="K236" s="110" t="s">
        <v>174</v>
      </c>
      <c r="L236" s="680" t="s">
        <v>20</v>
      </c>
      <c r="M236" s="680" t="s">
        <v>34</v>
      </c>
      <c r="N236" s="172">
        <v>3033.9690000000001</v>
      </c>
      <c r="O236" s="394">
        <v>0</v>
      </c>
      <c r="P236" s="172">
        <v>0</v>
      </c>
      <c r="Q236" s="172">
        <v>0</v>
      </c>
      <c r="R236" s="172">
        <v>0</v>
      </c>
    </row>
    <row r="237" spans="1:18" s="95" customFormat="1" ht="69.75" customHeight="1">
      <c r="A237" s="917"/>
      <c r="B237" s="707" t="s">
        <v>906</v>
      </c>
      <c r="C237" s="932" t="s">
        <v>467</v>
      </c>
      <c r="D237" s="737" t="s">
        <v>703</v>
      </c>
      <c r="E237" s="737" t="s">
        <v>468</v>
      </c>
      <c r="F237" s="932" t="s">
        <v>817</v>
      </c>
      <c r="G237" s="692" t="s">
        <v>818</v>
      </c>
      <c r="H237" s="690" t="s">
        <v>810</v>
      </c>
      <c r="I237" s="692" t="s">
        <v>1498</v>
      </c>
      <c r="J237" s="692" t="s">
        <v>64</v>
      </c>
      <c r="K237" s="692" t="s">
        <v>1495</v>
      </c>
      <c r="L237" s="680" t="s">
        <v>20</v>
      </c>
      <c r="M237" s="680" t="s">
        <v>34</v>
      </c>
      <c r="N237" s="172">
        <v>202.85499999999999</v>
      </c>
      <c r="O237" s="394">
        <v>202.85499999999999</v>
      </c>
      <c r="P237" s="172">
        <v>291.35599999999999</v>
      </c>
      <c r="Q237" s="172">
        <v>0</v>
      </c>
      <c r="R237" s="172">
        <v>0</v>
      </c>
    </row>
    <row r="238" spans="1:18" s="95" customFormat="1" ht="12">
      <c r="A238" s="917"/>
      <c r="B238" s="707"/>
      <c r="C238" s="932"/>
      <c r="D238" s="737"/>
      <c r="E238" s="737"/>
      <c r="F238" s="932"/>
      <c r="G238" s="692"/>
      <c r="H238" s="690"/>
      <c r="I238" s="692"/>
      <c r="J238" s="692"/>
      <c r="K238" s="692"/>
      <c r="L238" s="680" t="s">
        <v>20</v>
      </c>
      <c r="M238" s="680" t="s">
        <v>34</v>
      </c>
      <c r="N238" s="172">
        <f>219.958+6</f>
        <v>225.958</v>
      </c>
      <c r="O238" s="394">
        <f>219.958+6</f>
        <v>225.958</v>
      </c>
      <c r="P238" s="172">
        <f>120.809+300.791</f>
        <v>421.6</v>
      </c>
      <c r="Q238" s="172">
        <v>421.6</v>
      </c>
      <c r="R238" s="172">
        <v>399.7</v>
      </c>
    </row>
    <row r="239" spans="1:18" s="95" customFormat="1" ht="71.25" customHeight="1">
      <c r="A239" s="917"/>
      <c r="B239" s="707" t="s">
        <v>907</v>
      </c>
      <c r="C239" s="932"/>
      <c r="D239" s="737"/>
      <c r="E239" s="737"/>
      <c r="F239" s="932"/>
      <c r="G239" s="737"/>
      <c r="H239" s="737"/>
      <c r="I239" s="692" t="s">
        <v>1545</v>
      </c>
      <c r="J239" s="692" t="s">
        <v>384</v>
      </c>
      <c r="K239" s="692" t="s">
        <v>1345</v>
      </c>
      <c r="L239" s="680" t="s">
        <v>20</v>
      </c>
      <c r="M239" s="680" t="s">
        <v>34</v>
      </c>
      <c r="N239" s="172">
        <v>446.58600000000001</v>
      </c>
      <c r="O239" s="394">
        <v>446.58600000000001</v>
      </c>
      <c r="P239" s="172">
        <v>840.053</v>
      </c>
      <c r="Q239" s="172">
        <v>0</v>
      </c>
      <c r="R239" s="172">
        <v>0</v>
      </c>
    </row>
    <row r="240" spans="1:18" s="95" customFormat="1" ht="59.25" hidden="1" customHeight="1">
      <c r="A240" s="917"/>
      <c r="B240" s="300" t="s">
        <v>475</v>
      </c>
      <c r="C240" s="301"/>
      <c r="D240" s="301"/>
      <c r="E240" s="301"/>
      <c r="F240" s="301"/>
      <c r="G240" s="301"/>
      <c r="H240" s="301"/>
      <c r="I240" s="302"/>
      <c r="J240" s="303"/>
      <c r="K240" s="303"/>
      <c r="L240" s="706" t="s">
        <v>32</v>
      </c>
      <c r="M240" s="706" t="s">
        <v>29</v>
      </c>
      <c r="N240" s="15">
        <v>0</v>
      </c>
      <c r="O240" s="357"/>
      <c r="P240" s="15"/>
      <c r="Q240" s="15"/>
      <c r="R240" s="15"/>
    </row>
    <row r="241" spans="1:18" s="94" customFormat="1" ht="84.75" customHeight="1">
      <c r="A241" s="35"/>
      <c r="B241" s="681"/>
      <c r="C241" s="826" t="s">
        <v>794</v>
      </c>
      <c r="D241" s="836" t="s">
        <v>795</v>
      </c>
      <c r="E241" s="826" t="s">
        <v>796</v>
      </c>
      <c r="F241" s="826" t="s">
        <v>793</v>
      </c>
      <c r="G241" s="826" t="s">
        <v>783</v>
      </c>
      <c r="H241" s="836" t="s">
        <v>810</v>
      </c>
      <c r="I241" s="727" t="s">
        <v>864</v>
      </c>
      <c r="J241" s="727" t="s">
        <v>64</v>
      </c>
      <c r="K241" s="726" t="s">
        <v>110</v>
      </c>
      <c r="L241" s="663" t="s">
        <v>20</v>
      </c>
      <c r="M241" s="663" t="s">
        <v>38</v>
      </c>
      <c r="N241" s="87">
        <f>34.984+5.381</f>
        <v>40.365000000000002</v>
      </c>
      <c r="O241" s="231">
        <f>34.984+5.381</f>
        <v>40.365000000000002</v>
      </c>
      <c r="P241" s="231">
        <v>100</v>
      </c>
      <c r="Q241" s="231">
        <v>100</v>
      </c>
      <c r="R241" s="231">
        <v>100</v>
      </c>
    </row>
    <row r="242" spans="1:18" s="94" customFormat="1" ht="12" customHeight="1">
      <c r="A242" s="35"/>
      <c r="B242" s="681">
        <v>601</v>
      </c>
      <c r="C242" s="826"/>
      <c r="D242" s="1005"/>
      <c r="E242" s="826"/>
      <c r="F242" s="826"/>
      <c r="G242" s="826"/>
      <c r="H242" s="836"/>
      <c r="I242" s="904" t="s">
        <v>1154</v>
      </c>
      <c r="J242" s="904" t="s">
        <v>64</v>
      </c>
      <c r="K242" s="903" t="s">
        <v>1155</v>
      </c>
      <c r="L242" s="553" t="s">
        <v>20</v>
      </c>
      <c r="M242" s="553" t="s">
        <v>38</v>
      </c>
      <c r="N242" s="87">
        <v>99.177000000000007</v>
      </c>
      <c r="O242" s="231">
        <v>99.177000000000007</v>
      </c>
      <c r="P242" s="231">
        <v>0</v>
      </c>
      <c r="Q242" s="231">
        <v>0</v>
      </c>
      <c r="R242" s="231">
        <v>0</v>
      </c>
    </row>
    <row r="243" spans="1:18" s="94" customFormat="1" ht="24" customHeight="1">
      <c r="A243" s="35"/>
      <c r="B243" s="707" t="s">
        <v>882</v>
      </c>
      <c r="C243" s="826"/>
      <c r="D243" s="638"/>
      <c r="E243" s="638"/>
      <c r="F243" s="826"/>
      <c r="G243" s="826"/>
      <c r="H243" s="836"/>
      <c r="I243" s="904"/>
      <c r="J243" s="904"/>
      <c r="K243" s="903"/>
      <c r="L243" s="553" t="s">
        <v>20</v>
      </c>
      <c r="M243" s="553" t="s">
        <v>38</v>
      </c>
      <c r="N243" s="87">
        <v>3.0670000000000002</v>
      </c>
      <c r="O243" s="231">
        <v>3.0670000000000002</v>
      </c>
      <c r="P243" s="231">
        <v>0</v>
      </c>
      <c r="Q243" s="231">
        <v>0</v>
      </c>
      <c r="R243" s="231">
        <v>0</v>
      </c>
    </row>
    <row r="244" spans="1:18" s="94" customFormat="1" ht="24" customHeight="1">
      <c r="A244" s="35"/>
      <c r="B244" s="707" t="s">
        <v>883</v>
      </c>
      <c r="C244" s="692"/>
      <c r="D244" s="638"/>
      <c r="E244" s="638"/>
      <c r="F244" s="692"/>
      <c r="G244" s="692"/>
      <c r="H244" s="690"/>
      <c r="I244" s="904"/>
      <c r="J244" s="727"/>
      <c r="K244" s="726"/>
      <c r="L244" s="553" t="s">
        <v>20</v>
      </c>
      <c r="M244" s="553" t="s">
        <v>38</v>
      </c>
      <c r="N244" s="87">
        <v>422.50900000000001</v>
      </c>
      <c r="O244" s="231">
        <v>422.50900000000001</v>
      </c>
      <c r="P244" s="231">
        <v>0</v>
      </c>
      <c r="Q244" s="231">
        <v>0</v>
      </c>
      <c r="R244" s="231">
        <v>0</v>
      </c>
    </row>
    <row r="245" spans="1:18" s="95" customFormat="1" ht="46.5" customHeight="1">
      <c r="A245" s="28" t="s">
        <v>740</v>
      </c>
      <c r="B245" s="747">
        <v>1068</v>
      </c>
      <c r="C245" s="28" t="s">
        <v>28</v>
      </c>
      <c r="D245" s="28" t="s">
        <v>28</v>
      </c>
      <c r="E245" s="28" t="s">
        <v>28</v>
      </c>
      <c r="F245" s="28" t="s">
        <v>28</v>
      </c>
      <c r="G245" s="28" t="s">
        <v>28</v>
      </c>
      <c r="H245" s="28" t="s">
        <v>28</v>
      </c>
      <c r="I245" s="28" t="s">
        <v>28</v>
      </c>
      <c r="J245" s="28" t="s">
        <v>28</v>
      </c>
      <c r="K245" s="28" t="s">
        <v>28</v>
      </c>
      <c r="L245" s="748" t="s">
        <v>37</v>
      </c>
      <c r="M245" s="409" t="s">
        <v>29</v>
      </c>
      <c r="N245" s="62">
        <f>SUM(N247:N266)</f>
        <v>47271.205999999998</v>
      </c>
      <c r="O245" s="62">
        <f t="shared" ref="O245:R245" si="31">SUM(O247:O266)</f>
        <v>47253.4</v>
      </c>
      <c r="P245" s="62">
        <f t="shared" si="31"/>
        <v>51181.437999999995</v>
      </c>
      <c r="Q245" s="62">
        <f t="shared" si="31"/>
        <v>13636.5</v>
      </c>
      <c r="R245" s="62">
        <f t="shared" si="31"/>
        <v>9424.9500000000007</v>
      </c>
    </row>
    <row r="246" spans="1:18" s="95" customFormat="1" ht="12">
      <c r="A246" s="28" t="s">
        <v>89</v>
      </c>
      <c r="B246" s="747"/>
      <c r="C246" s="28"/>
      <c r="D246" s="28"/>
      <c r="E246" s="28"/>
      <c r="F246" s="28"/>
      <c r="G246" s="28"/>
      <c r="H246" s="28"/>
      <c r="I246" s="28"/>
      <c r="J246" s="28"/>
      <c r="K246" s="28"/>
      <c r="L246" s="747"/>
      <c r="M246" s="274"/>
      <c r="N246" s="127"/>
      <c r="O246" s="363"/>
      <c r="P246" s="127"/>
      <c r="Q246" s="127"/>
      <c r="R246" s="127"/>
    </row>
    <row r="247" spans="1:18" s="95" customFormat="1" ht="60" customHeight="1">
      <c r="A247" s="28"/>
      <c r="B247" s="747"/>
      <c r="C247" s="744" t="s">
        <v>53</v>
      </c>
      <c r="D247" s="744" t="s">
        <v>696</v>
      </c>
      <c r="E247" s="744" t="s">
        <v>54</v>
      </c>
      <c r="F247" s="874" t="s">
        <v>701</v>
      </c>
      <c r="G247" s="744" t="s">
        <v>85</v>
      </c>
      <c r="H247" s="744" t="s">
        <v>700</v>
      </c>
      <c r="I247" s="744" t="s">
        <v>119</v>
      </c>
      <c r="J247" s="744" t="s">
        <v>64</v>
      </c>
      <c r="K247" s="16" t="s">
        <v>106</v>
      </c>
      <c r="L247" s="54"/>
      <c r="M247" s="126"/>
      <c r="N247" s="52">
        <f>10963.817+3693.283+8205.992</f>
        <v>22863.091999999997</v>
      </c>
      <c r="O247" s="364">
        <f>10959.294+3680+8205.992</f>
        <v>22845.286</v>
      </c>
      <c r="P247" s="52">
        <f>13393.055+852.95+9686.6</f>
        <v>23932.605000000003</v>
      </c>
      <c r="Q247" s="52">
        <f>4426.2+9210.3</f>
        <v>13636.5</v>
      </c>
      <c r="R247" s="52">
        <f>136.75+9288.2</f>
        <v>9424.9500000000007</v>
      </c>
    </row>
    <row r="248" spans="1:18" s="95" customFormat="1" ht="74.25" customHeight="1">
      <c r="A248" s="45"/>
      <c r="B248" s="748"/>
      <c r="C248" s="737" t="s">
        <v>697</v>
      </c>
      <c r="D248" s="737" t="s">
        <v>698</v>
      </c>
      <c r="E248" s="241">
        <v>34716</v>
      </c>
      <c r="F248" s="932"/>
      <c r="G248" s="737"/>
      <c r="H248" s="737"/>
      <c r="I248" s="737" t="s">
        <v>424</v>
      </c>
      <c r="J248" s="737" t="s">
        <v>64</v>
      </c>
      <c r="K248" s="737" t="s">
        <v>106</v>
      </c>
      <c r="L248" s="748"/>
      <c r="M248" s="409"/>
      <c r="N248" s="37"/>
      <c r="O248" s="369"/>
      <c r="P248" s="37"/>
      <c r="Q248" s="37"/>
      <c r="R248" s="37"/>
    </row>
    <row r="249" spans="1:18" s="94" customFormat="1" ht="72.75" customHeight="1">
      <c r="A249" s="35"/>
      <c r="B249" s="681"/>
      <c r="C249" s="737"/>
      <c r="D249" s="737"/>
      <c r="E249" s="737"/>
      <c r="F249" s="737"/>
      <c r="G249" s="737"/>
      <c r="H249" s="737"/>
      <c r="I249" s="727" t="s">
        <v>399</v>
      </c>
      <c r="J249" s="727" t="s">
        <v>64</v>
      </c>
      <c r="K249" s="5" t="s">
        <v>400</v>
      </c>
      <c r="L249" s="681"/>
      <c r="M249" s="705"/>
      <c r="N249" s="37"/>
      <c r="O249" s="369"/>
      <c r="P249" s="37"/>
      <c r="Q249" s="37"/>
      <c r="R249" s="37"/>
    </row>
    <row r="250" spans="1:18" s="95" customFormat="1" ht="63.75" customHeight="1">
      <c r="A250" s="45"/>
      <c r="B250" s="748"/>
      <c r="C250" s="737"/>
      <c r="D250" s="737"/>
      <c r="E250" s="737"/>
      <c r="F250" s="737"/>
      <c r="G250" s="737"/>
      <c r="H250" s="737"/>
      <c r="I250" s="737" t="s">
        <v>120</v>
      </c>
      <c r="J250" s="737" t="s">
        <v>64</v>
      </c>
      <c r="K250" s="262" t="s">
        <v>106</v>
      </c>
      <c r="L250" s="730"/>
      <c r="M250" s="119"/>
      <c r="N250" s="62"/>
      <c r="O250" s="390"/>
      <c r="P250" s="62"/>
      <c r="Q250" s="62"/>
      <c r="R250" s="62"/>
    </row>
    <row r="251" spans="1:18" s="95" customFormat="1" ht="109.5" customHeight="1">
      <c r="A251" s="45"/>
      <c r="B251" s="748"/>
      <c r="C251" s="737"/>
      <c r="D251" s="737"/>
      <c r="E251" s="737"/>
      <c r="F251" s="737"/>
      <c r="G251" s="737"/>
      <c r="H251" s="737"/>
      <c r="I251" s="737" t="s">
        <v>121</v>
      </c>
      <c r="J251" s="737" t="s">
        <v>64</v>
      </c>
      <c r="K251" s="262" t="s">
        <v>106</v>
      </c>
      <c r="L251" s="730"/>
      <c r="M251" s="119"/>
      <c r="N251" s="62"/>
      <c r="O251" s="390"/>
      <c r="P251" s="62"/>
      <c r="Q251" s="62"/>
      <c r="R251" s="62"/>
    </row>
    <row r="252" spans="1:18" s="95" customFormat="1" ht="72">
      <c r="A252" s="45"/>
      <c r="B252" s="748"/>
      <c r="C252" s="737"/>
      <c r="D252" s="737"/>
      <c r="E252" s="737"/>
      <c r="F252" s="737"/>
      <c r="G252" s="737"/>
      <c r="H252" s="737"/>
      <c r="I252" s="737" t="s">
        <v>1021</v>
      </c>
      <c r="J252" s="737" t="s">
        <v>64</v>
      </c>
      <c r="K252" s="262" t="s">
        <v>441</v>
      </c>
      <c r="L252" s="730"/>
      <c r="M252" s="119"/>
      <c r="N252" s="62"/>
      <c r="O252" s="390"/>
      <c r="P252" s="62"/>
      <c r="Q252" s="62"/>
      <c r="R252" s="62"/>
    </row>
    <row r="253" spans="1:18" s="95" customFormat="1" ht="49.5" customHeight="1">
      <c r="A253" s="45"/>
      <c r="B253" s="748"/>
      <c r="C253" s="737"/>
      <c r="D253" s="737"/>
      <c r="E253" s="737"/>
      <c r="F253" s="754"/>
      <c r="G253" s="754"/>
      <c r="H253" s="754"/>
      <c r="I253" s="737" t="s">
        <v>397</v>
      </c>
      <c r="J253" s="737" t="s">
        <v>64</v>
      </c>
      <c r="K253" s="262" t="s">
        <v>67</v>
      </c>
      <c r="L253" s="730"/>
      <c r="M253" s="119"/>
      <c r="N253" s="62"/>
      <c r="O253" s="390"/>
      <c r="P253" s="62"/>
      <c r="Q253" s="62"/>
      <c r="R253" s="62"/>
    </row>
    <row r="254" spans="1:18" s="94" customFormat="1" ht="59.25" hidden="1" customHeight="1">
      <c r="A254" s="44"/>
      <c r="B254" s="552" t="s">
        <v>419</v>
      </c>
      <c r="C254" s="724"/>
      <c r="D254" s="724"/>
      <c r="E254" s="724"/>
      <c r="F254" s="939" t="s">
        <v>461</v>
      </c>
      <c r="G254" s="781" t="s">
        <v>695</v>
      </c>
      <c r="H254" s="781" t="s">
        <v>462</v>
      </c>
      <c r="I254" s="724" t="s">
        <v>1098</v>
      </c>
      <c r="J254" s="724" t="s">
        <v>64</v>
      </c>
      <c r="K254" s="724" t="s">
        <v>944</v>
      </c>
      <c r="L254" s="719"/>
      <c r="M254" s="719"/>
      <c r="N254" s="37"/>
      <c r="O254" s="369"/>
      <c r="P254" s="37"/>
      <c r="Q254" s="37"/>
      <c r="R254" s="37"/>
    </row>
    <row r="255" spans="1:18" s="94" customFormat="1" ht="122.25" hidden="1" customHeight="1">
      <c r="A255" s="44"/>
      <c r="B255" s="552" t="s">
        <v>452</v>
      </c>
      <c r="C255" s="724"/>
      <c r="D255" s="724"/>
      <c r="E255" s="724"/>
      <c r="F255" s="939"/>
      <c r="G255" s="781"/>
      <c r="H255" s="781"/>
      <c r="I255" s="724" t="s">
        <v>983</v>
      </c>
      <c r="J255" s="724" t="s">
        <v>64</v>
      </c>
      <c r="K255" s="724" t="s">
        <v>984</v>
      </c>
      <c r="L255" s="719"/>
      <c r="M255" s="719"/>
      <c r="N255" s="37"/>
      <c r="O255" s="369"/>
      <c r="P255" s="37"/>
      <c r="Q255" s="37"/>
      <c r="R255" s="37"/>
    </row>
    <row r="256" spans="1:18" s="94" customFormat="1" ht="59.25" hidden="1" customHeight="1">
      <c r="A256" s="35"/>
      <c r="B256" s="707" t="s">
        <v>839</v>
      </c>
      <c r="C256" s="66"/>
      <c r="D256" s="66"/>
      <c r="E256" s="66"/>
      <c r="F256" s="1006" t="s">
        <v>775</v>
      </c>
      <c r="G256" s="934" t="s">
        <v>786</v>
      </c>
      <c r="H256" s="930" t="s">
        <v>810</v>
      </c>
      <c r="I256" s="929" t="s">
        <v>842</v>
      </c>
      <c r="J256" s="724" t="s">
        <v>843</v>
      </c>
      <c r="K256" s="724" t="s">
        <v>844</v>
      </c>
      <c r="L256" s="719"/>
      <c r="M256" s="115"/>
      <c r="N256" s="37">
        <v>0</v>
      </c>
      <c r="O256" s="369">
        <v>0</v>
      </c>
      <c r="P256" s="37">
        <v>0</v>
      </c>
      <c r="Q256" s="37">
        <v>0</v>
      </c>
      <c r="R256" s="37">
        <v>0</v>
      </c>
    </row>
    <row r="257" spans="1:18" s="94" customFormat="1" ht="59.25" hidden="1" customHeight="1">
      <c r="A257" s="35"/>
      <c r="B257" s="707" t="s">
        <v>503</v>
      </c>
      <c r="C257" s="66"/>
      <c r="D257" s="66"/>
      <c r="E257" s="66"/>
      <c r="F257" s="1006"/>
      <c r="G257" s="934"/>
      <c r="H257" s="930"/>
      <c r="I257" s="929"/>
      <c r="J257" s="266"/>
      <c r="K257" s="267"/>
      <c r="L257" s="719"/>
      <c r="M257" s="115"/>
      <c r="N257" s="37">
        <v>0</v>
      </c>
      <c r="O257" s="369">
        <v>0</v>
      </c>
      <c r="P257" s="37">
        <v>0</v>
      </c>
      <c r="Q257" s="37">
        <v>0</v>
      </c>
      <c r="R257" s="37">
        <v>0</v>
      </c>
    </row>
    <row r="258" spans="1:18" s="94" customFormat="1" ht="59.25" hidden="1" customHeight="1">
      <c r="A258" s="35"/>
      <c r="B258" s="707"/>
      <c r="C258" s="66"/>
      <c r="D258" s="66"/>
      <c r="E258" s="66"/>
      <c r="F258" s="1006"/>
      <c r="G258" s="934"/>
      <c r="H258" s="930"/>
      <c r="I258" s="740"/>
      <c r="J258" s="266"/>
      <c r="K258" s="267"/>
      <c r="L258" s="719"/>
      <c r="M258" s="115"/>
      <c r="N258" s="37">
        <v>0</v>
      </c>
      <c r="O258" s="369">
        <v>0</v>
      </c>
      <c r="P258" s="37">
        <v>0</v>
      </c>
      <c r="Q258" s="37">
        <v>0</v>
      </c>
      <c r="R258" s="37">
        <v>0</v>
      </c>
    </row>
    <row r="259" spans="1:18" s="94" customFormat="1" ht="180.75" customHeight="1">
      <c r="A259" s="35"/>
      <c r="B259" s="707" t="s">
        <v>118</v>
      </c>
      <c r="C259" s="66"/>
      <c r="D259" s="66"/>
      <c r="E259" s="66"/>
      <c r="F259" s="245" t="s">
        <v>775</v>
      </c>
      <c r="G259" s="245" t="s">
        <v>1100</v>
      </c>
      <c r="H259" s="245" t="s">
        <v>810</v>
      </c>
      <c r="I259" s="692" t="s">
        <v>1460</v>
      </c>
      <c r="J259" s="692" t="s">
        <v>64</v>
      </c>
      <c r="K259" s="692" t="s">
        <v>1461</v>
      </c>
      <c r="L259" s="719"/>
      <c r="M259" s="115"/>
      <c r="N259" s="37">
        <v>24048.6</v>
      </c>
      <c r="O259" s="369">
        <v>24048.6</v>
      </c>
      <c r="P259" s="37">
        <v>26929.8</v>
      </c>
      <c r="Q259" s="37">
        <v>0</v>
      </c>
      <c r="R259" s="37">
        <v>0</v>
      </c>
    </row>
    <row r="260" spans="1:18" s="94" customFormat="1" ht="22.5" hidden="1" customHeight="1">
      <c r="A260" s="44"/>
      <c r="B260" s="552" t="s">
        <v>919</v>
      </c>
      <c r="C260" s="328"/>
      <c r="D260" s="328"/>
      <c r="E260" s="328"/>
      <c r="F260" s="933" t="s">
        <v>775</v>
      </c>
      <c r="G260" s="933" t="s">
        <v>1099</v>
      </c>
      <c r="H260" s="933" t="s">
        <v>810</v>
      </c>
      <c r="I260" s="838" t="s">
        <v>986</v>
      </c>
      <c r="J260" s="838" t="s">
        <v>64</v>
      </c>
      <c r="K260" s="838" t="s">
        <v>987</v>
      </c>
      <c r="L260" s="552" t="s">
        <v>37</v>
      </c>
      <c r="M260" s="552" t="s">
        <v>29</v>
      </c>
      <c r="N260" s="37"/>
      <c r="O260" s="369"/>
      <c r="P260" s="37"/>
      <c r="Q260" s="37"/>
      <c r="R260" s="37"/>
    </row>
    <row r="261" spans="1:18" s="94" customFormat="1" ht="63.75" hidden="1" customHeight="1">
      <c r="A261" s="721"/>
      <c r="B261" s="552" t="s">
        <v>838</v>
      </c>
      <c r="C261" s="44"/>
      <c r="D261" s="44"/>
      <c r="E261" s="44"/>
      <c r="F261" s="933"/>
      <c r="G261" s="933"/>
      <c r="H261" s="933"/>
      <c r="I261" s="838"/>
      <c r="J261" s="838"/>
      <c r="K261" s="838"/>
      <c r="L261" s="552" t="s">
        <v>37</v>
      </c>
      <c r="M261" s="552" t="s">
        <v>29</v>
      </c>
      <c r="N261" s="37"/>
      <c r="O261" s="369"/>
      <c r="P261" s="37"/>
      <c r="Q261" s="37"/>
      <c r="R261" s="37"/>
    </row>
    <row r="262" spans="1:18" s="94" customFormat="1" ht="132" hidden="1">
      <c r="A262" s="721"/>
      <c r="B262" s="552" t="s">
        <v>980</v>
      </c>
      <c r="C262" s="44"/>
      <c r="D262" s="44"/>
      <c r="E262" s="44"/>
      <c r="F262" s="724" t="s">
        <v>1101</v>
      </c>
      <c r="G262" s="724" t="s">
        <v>64</v>
      </c>
      <c r="H262" s="724" t="s">
        <v>1103</v>
      </c>
      <c r="I262" s="724" t="s">
        <v>1020</v>
      </c>
      <c r="J262" s="724" t="s">
        <v>64</v>
      </c>
      <c r="K262" s="724" t="s">
        <v>992</v>
      </c>
      <c r="L262" s="552" t="s">
        <v>37</v>
      </c>
      <c r="M262" s="552" t="s">
        <v>29</v>
      </c>
      <c r="N262" s="37"/>
      <c r="O262" s="369"/>
      <c r="P262" s="37"/>
      <c r="Q262" s="37"/>
      <c r="R262" s="37"/>
    </row>
    <row r="263" spans="1:18" s="94" customFormat="1" ht="179.25" hidden="1" customHeight="1">
      <c r="A263" s="721"/>
      <c r="B263" s="552" t="s">
        <v>994</v>
      </c>
      <c r="C263" s="44"/>
      <c r="D263" s="44"/>
      <c r="E263" s="44"/>
      <c r="F263" s="724" t="s">
        <v>1102</v>
      </c>
      <c r="G263" s="724" t="s">
        <v>64</v>
      </c>
      <c r="H263" s="724" t="s">
        <v>1104</v>
      </c>
      <c r="I263" s="724" t="s">
        <v>1105</v>
      </c>
      <c r="J263" s="724" t="s">
        <v>64</v>
      </c>
      <c r="K263" s="724" t="s">
        <v>998</v>
      </c>
      <c r="L263" s="552" t="s">
        <v>37</v>
      </c>
      <c r="M263" s="552" t="s">
        <v>29</v>
      </c>
      <c r="N263" s="37"/>
      <c r="O263" s="369"/>
      <c r="P263" s="37"/>
      <c r="Q263" s="37"/>
      <c r="R263" s="37"/>
    </row>
    <row r="264" spans="1:18" s="94" customFormat="1" ht="35.25" customHeight="1">
      <c r="A264" s="721"/>
      <c r="B264" s="552" t="s">
        <v>999</v>
      </c>
      <c r="C264" s="44"/>
      <c r="D264" s="44"/>
      <c r="E264" s="44"/>
      <c r="F264" s="724"/>
      <c r="G264" s="724"/>
      <c r="H264" s="724"/>
      <c r="I264" s="901" t="s">
        <v>1467</v>
      </c>
      <c r="J264" s="901" t="s">
        <v>64</v>
      </c>
      <c r="K264" s="724" t="s">
        <v>1468</v>
      </c>
      <c r="L264" s="552" t="s">
        <v>37</v>
      </c>
      <c r="M264" s="552" t="s">
        <v>29</v>
      </c>
      <c r="N264" s="37">
        <v>297.13799999999998</v>
      </c>
      <c r="O264" s="369">
        <v>297.13799999999998</v>
      </c>
      <c r="P264" s="37">
        <v>263.68099999999998</v>
      </c>
      <c r="Q264" s="37">
        <v>0</v>
      </c>
      <c r="R264" s="37">
        <v>0</v>
      </c>
    </row>
    <row r="265" spans="1:18" s="94" customFormat="1" ht="21" customHeight="1">
      <c r="A265" s="721"/>
      <c r="B265" s="552"/>
      <c r="C265" s="44"/>
      <c r="D265" s="44"/>
      <c r="E265" s="44"/>
      <c r="F265" s="724"/>
      <c r="G265" s="724"/>
      <c r="H265" s="724"/>
      <c r="I265" s="901"/>
      <c r="J265" s="901"/>
      <c r="K265" s="724"/>
      <c r="L265" s="552" t="s">
        <v>37</v>
      </c>
      <c r="M265" s="552" t="s">
        <v>29</v>
      </c>
      <c r="N265" s="37">
        <v>17.975999999999999</v>
      </c>
      <c r="O265" s="369">
        <v>17.975999999999999</v>
      </c>
      <c r="P265" s="37">
        <v>15.952</v>
      </c>
      <c r="Q265" s="37">
        <v>0</v>
      </c>
      <c r="R265" s="37">
        <v>0</v>
      </c>
    </row>
    <row r="266" spans="1:18" s="94" customFormat="1" ht="28.5" customHeight="1">
      <c r="A266" s="721"/>
      <c r="B266" s="552" t="s">
        <v>1000</v>
      </c>
      <c r="C266" s="44"/>
      <c r="D266" s="44"/>
      <c r="E266" s="44"/>
      <c r="F266" s="724"/>
      <c r="G266" s="724"/>
      <c r="H266" s="724"/>
      <c r="I266" s="902"/>
      <c r="J266" s="902"/>
      <c r="K266" s="724"/>
      <c r="L266" s="552" t="s">
        <v>37</v>
      </c>
      <c r="M266" s="552" t="s">
        <v>29</v>
      </c>
      <c r="N266" s="37">
        <v>44.4</v>
      </c>
      <c r="O266" s="369">
        <v>44.4</v>
      </c>
      <c r="P266" s="37">
        <v>39.4</v>
      </c>
      <c r="Q266" s="37">
        <v>0</v>
      </c>
      <c r="R266" s="37">
        <v>0</v>
      </c>
    </row>
    <row r="267" spans="1:18" s="95" customFormat="1" ht="48.75" customHeight="1">
      <c r="A267" s="1007" t="s">
        <v>911</v>
      </c>
      <c r="B267" s="438" t="s">
        <v>912</v>
      </c>
      <c r="C267" s="439"/>
      <c r="D267" s="439"/>
      <c r="E267" s="439"/>
      <c r="F267" s="440"/>
      <c r="G267" s="440"/>
      <c r="H267" s="440"/>
      <c r="I267" s="839" t="s">
        <v>1555</v>
      </c>
      <c r="J267" s="441" t="s">
        <v>64</v>
      </c>
      <c r="K267" s="698" t="s">
        <v>1134</v>
      </c>
      <c r="L267" s="438"/>
      <c r="M267" s="438"/>
      <c r="N267" s="442">
        <f>SUM(N268:N270)</f>
        <v>165</v>
      </c>
      <c r="O267" s="442">
        <f t="shared" ref="O267:R267" si="32">SUM(O268:O270)</f>
        <v>130.80000000000001</v>
      </c>
      <c r="P267" s="442">
        <f t="shared" si="32"/>
        <v>301</v>
      </c>
      <c r="Q267" s="442">
        <f t="shared" si="32"/>
        <v>0</v>
      </c>
      <c r="R267" s="442">
        <f t="shared" si="32"/>
        <v>0</v>
      </c>
    </row>
    <row r="268" spans="1:18" s="95" customFormat="1" ht="46.5" customHeight="1">
      <c r="A268" s="1008"/>
      <c r="B268" s="443"/>
      <c r="C268" s="444"/>
      <c r="D268" s="444"/>
      <c r="E268" s="444"/>
      <c r="F268" s="437"/>
      <c r="G268" s="437"/>
      <c r="H268" s="437"/>
      <c r="I268" s="786"/>
      <c r="J268" s="437"/>
      <c r="K268" s="549"/>
      <c r="L268" s="435" t="s">
        <v>32</v>
      </c>
      <c r="M268" s="435" t="s">
        <v>38</v>
      </c>
      <c r="N268" s="369">
        <f>25</f>
        <v>25</v>
      </c>
      <c r="O268" s="369">
        <v>25</v>
      </c>
      <c r="P268" s="369">
        <f>155.8+25.2</f>
        <v>181</v>
      </c>
      <c r="Q268" s="369">
        <v>0</v>
      </c>
      <c r="R268" s="369">
        <v>0</v>
      </c>
    </row>
    <row r="269" spans="1:18" s="95" customFormat="1" ht="84" customHeight="1">
      <c r="A269" s="1008"/>
      <c r="B269" s="435"/>
      <c r="C269" s="444"/>
      <c r="D269" s="444"/>
      <c r="E269" s="444"/>
      <c r="F269" s="437"/>
      <c r="G269" s="437"/>
      <c r="H269" s="437"/>
      <c r="I269" s="665" t="s">
        <v>1331</v>
      </c>
      <c r="J269" s="746" t="s">
        <v>64</v>
      </c>
      <c r="K269" s="665" t="s">
        <v>1330</v>
      </c>
      <c r="L269" s="435" t="s">
        <v>32</v>
      </c>
      <c r="M269" s="435" t="s">
        <v>38</v>
      </c>
      <c r="N269" s="482">
        <v>140</v>
      </c>
      <c r="O269" s="482">
        <v>105.8</v>
      </c>
      <c r="P269" s="482">
        <v>0</v>
      </c>
      <c r="Q269" s="482">
        <v>0</v>
      </c>
      <c r="R269" s="482">
        <v>0</v>
      </c>
    </row>
    <row r="270" spans="1:18" s="95" customFormat="1" ht="48">
      <c r="A270" s="1009"/>
      <c r="B270" s="684" t="s">
        <v>433</v>
      </c>
      <c r="C270" s="778"/>
      <c r="D270" s="778"/>
      <c r="E270" s="778"/>
      <c r="F270" s="779"/>
      <c r="G270" s="779"/>
      <c r="H270" s="779"/>
      <c r="I270" s="725" t="s">
        <v>1551</v>
      </c>
      <c r="J270" s="699" t="s">
        <v>64</v>
      </c>
      <c r="K270" s="780" t="s">
        <v>1552</v>
      </c>
      <c r="L270" s="684" t="s">
        <v>32</v>
      </c>
      <c r="M270" s="684" t="s">
        <v>38</v>
      </c>
      <c r="N270" s="57">
        <v>0</v>
      </c>
      <c r="O270" s="57">
        <v>0</v>
      </c>
      <c r="P270" s="57">
        <v>120</v>
      </c>
      <c r="Q270" s="57">
        <v>0</v>
      </c>
      <c r="R270" s="57">
        <v>0</v>
      </c>
    </row>
    <row r="271" spans="1:18" s="94" customFormat="1" ht="46.5" hidden="1" customHeight="1">
      <c r="A271" s="296" t="s">
        <v>962</v>
      </c>
      <c r="B271" s="306" t="s">
        <v>1197</v>
      </c>
      <c r="C271" s="307"/>
      <c r="D271" s="307"/>
      <c r="E271" s="307"/>
      <c r="F271" s="308"/>
      <c r="G271" s="308"/>
      <c r="H271" s="308"/>
      <c r="I271" s="309" t="s">
        <v>83</v>
      </c>
      <c r="J271" s="310" t="s">
        <v>64</v>
      </c>
      <c r="K271" s="311" t="s">
        <v>67</v>
      </c>
      <c r="L271" s="306" t="s">
        <v>34</v>
      </c>
      <c r="M271" s="306" t="s">
        <v>32</v>
      </c>
      <c r="N271" s="312">
        <v>0</v>
      </c>
      <c r="O271" s="395"/>
      <c r="P271" s="453"/>
      <c r="Q271" s="495"/>
      <c r="R271" s="495"/>
    </row>
    <row r="272" spans="1:18" s="95" customFormat="1" ht="108" hidden="1">
      <c r="A272" s="28" t="s">
        <v>762</v>
      </c>
      <c r="B272" s="709" t="s">
        <v>763</v>
      </c>
      <c r="C272" s="270"/>
      <c r="D272" s="270"/>
      <c r="E272" s="270"/>
      <c r="F272" s="271"/>
      <c r="G272" s="271"/>
      <c r="H272" s="271"/>
      <c r="I272" s="761" t="s">
        <v>1013</v>
      </c>
      <c r="J272" s="761" t="s">
        <v>64</v>
      </c>
      <c r="K272" s="761" t="s">
        <v>852</v>
      </c>
      <c r="L272" s="709" t="s">
        <v>34</v>
      </c>
      <c r="M272" s="709" t="s">
        <v>32</v>
      </c>
      <c r="N272" s="29">
        <v>0</v>
      </c>
      <c r="O272" s="385">
        <v>0</v>
      </c>
      <c r="P272" s="29">
        <v>0</v>
      </c>
      <c r="Q272" s="130">
        <v>0</v>
      </c>
      <c r="R272" s="130">
        <v>0</v>
      </c>
    </row>
    <row r="273" spans="1:18" s="95" customFormat="1" ht="60" hidden="1">
      <c r="A273" s="77"/>
      <c r="B273" s="751"/>
      <c r="C273" s="253"/>
      <c r="D273" s="253"/>
      <c r="E273" s="253"/>
      <c r="F273" s="254"/>
      <c r="G273" s="254"/>
      <c r="H273" s="254"/>
      <c r="I273" s="763" t="s">
        <v>853</v>
      </c>
      <c r="J273" s="763" t="s">
        <v>64</v>
      </c>
      <c r="K273" s="763" t="s">
        <v>854</v>
      </c>
      <c r="L273" s="751"/>
      <c r="M273" s="751"/>
      <c r="N273" s="78"/>
      <c r="O273" s="395"/>
      <c r="P273" s="287"/>
      <c r="Q273" s="136"/>
      <c r="R273" s="136"/>
    </row>
    <row r="274" spans="1:18" s="95" customFormat="1" ht="72">
      <c r="A274" s="28" t="s">
        <v>481</v>
      </c>
      <c r="B274" s="747" t="s">
        <v>43</v>
      </c>
      <c r="C274" s="747" t="s">
        <v>26</v>
      </c>
      <c r="D274" s="747" t="s">
        <v>26</v>
      </c>
      <c r="E274" s="747" t="s">
        <v>26</v>
      </c>
      <c r="F274" s="747" t="s">
        <v>26</v>
      </c>
      <c r="G274" s="747" t="s">
        <v>26</v>
      </c>
      <c r="H274" s="747" t="s">
        <v>26</v>
      </c>
      <c r="I274" s="747" t="s">
        <v>26</v>
      </c>
      <c r="J274" s="747" t="s">
        <v>26</v>
      </c>
      <c r="K274" s="747" t="s">
        <v>26</v>
      </c>
      <c r="L274" s="747"/>
      <c r="M274" s="274"/>
      <c r="N274" s="127">
        <f>N275+N277+N280+N281+N279</f>
        <v>67945.899999999994</v>
      </c>
      <c r="O274" s="127">
        <f t="shared" ref="O274:R274" si="33">O275+O277+O280+O281+O279</f>
        <v>67945.899999999994</v>
      </c>
      <c r="P274" s="127">
        <f t="shared" si="33"/>
        <v>69005.5</v>
      </c>
      <c r="Q274" s="127">
        <f t="shared" si="33"/>
        <v>69265.899999999994</v>
      </c>
      <c r="R274" s="127">
        <f t="shared" si="33"/>
        <v>0</v>
      </c>
    </row>
    <row r="275" spans="1:18" s="95" customFormat="1" ht="70.5" customHeight="1">
      <c r="A275" s="945" t="s">
        <v>592</v>
      </c>
      <c r="B275" s="943">
        <v>1118</v>
      </c>
      <c r="C275" s="810" t="s">
        <v>53</v>
      </c>
      <c r="D275" s="810" t="s">
        <v>486</v>
      </c>
      <c r="E275" s="810" t="s">
        <v>54</v>
      </c>
      <c r="F275" s="810" t="s">
        <v>701</v>
      </c>
      <c r="G275" s="810" t="s">
        <v>699</v>
      </c>
      <c r="H275" s="810" t="s">
        <v>700</v>
      </c>
      <c r="I275" s="680" t="s">
        <v>787</v>
      </c>
      <c r="J275" s="680" t="s">
        <v>64</v>
      </c>
      <c r="K275" s="680" t="s">
        <v>106</v>
      </c>
      <c r="L275" s="866" t="s">
        <v>37</v>
      </c>
      <c r="M275" s="868" t="s">
        <v>29</v>
      </c>
      <c r="N275" s="852">
        <v>15966.7</v>
      </c>
      <c r="O275" s="852">
        <v>15966.7</v>
      </c>
      <c r="P275" s="852">
        <v>16131.5</v>
      </c>
      <c r="Q275" s="852">
        <v>16131.5</v>
      </c>
      <c r="R275" s="849">
        <v>0</v>
      </c>
    </row>
    <row r="276" spans="1:18" s="95" customFormat="1" ht="108.75" customHeight="1">
      <c r="A276" s="971"/>
      <c r="B276" s="1010"/>
      <c r="C276" s="928"/>
      <c r="D276" s="928"/>
      <c r="E276" s="928"/>
      <c r="F276" s="928"/>
      <c r="G276" s="928"/>
      <c r="H276" s="928"/>
      <c r="I276" s="680" t="s">
        <v>121</v>
      </c>
      <c r="J276" s="680" t="s">
        <v>64</v>
      </c>
      <c r="K276" s="680" t="s">
        <v>1106</v>
      </c>
      <c r="L276" s="867"/>
      <c r="M276" s="869"/>
      <c r="N276" s="853"/>
      <c r="O276" s="853"/>
      <c r="P276" s="853"/>
      <c r="Q276" s="853"/>
      <c r="R276" s="850"/>
    </row>
    <row r="277" spans="1:18" s="95" customFormat="1" ht="48.75" customHeight="1">
      <c r="A277" s="28" t="s">
        <v>593</v>
      </c>
      <c r="B277" s="747">
        <v>1119</v>
      </c>
      <c r="C277" s="680" t="s">
        <v>53</v>
      </c>
      <c r="D277" s="680" t="s">
        <v>702</v>
      </c>
      <c r="E277" s="680" t="s">
        <v>54</v>
      </c>
      <c r="F277" s="680"/>
      <c r="G277" s="680"/>
      <c r="H277" s="680"/>
      <c r="I277" s="680" t="s">
        <v>788</v>
      </c>
      <c r="J277" s="680" t="s">
        <v>64</v>
      </c>
      <c r="K277" s="680" t="s">
        <v>485</v>
      </c>
      <c r="L277" s="709" t="s">
        <v>37</v>
      </c>
      <c r="M277" s="709" t="s">
        <v>29</v>
      </c>
      <c r="N277" s="286">
        <f>24596.2+27382</f>
        <v>51978.2</v>
      </c>
      <c r="O277" s="396">
        <f>24596.2+27382</f>
        <v>51978.2</v>
      </c>
      <c r="P277" s="286">
        <f>24366.1+28507.9</f>
        <v>52874</v>
      </c>
      <c r="Q277" s="130">
        <f>24366.1+28768.3</f>
        <v>53134.399999999994</v>
      </c>
      <c r="R277" s="130">
        <v>0</v>
      </c>
    </row>
    <row r="278" spans="1:18" s="95" customFormat="1" ht="60">
      <c r="A278" s="77"/>
      <c r="B278" s="500"/>
      <c r="C278" s="688"/>
      <c r="D278" s="688"/>
      <c r="E278" s="688"/>
      <c r="F278" s="688"/>
      <c r="G278" s="688"/>
      <c r="H278" s="688"/>
      <c r="I278" s="688" t="s">
        <v>130</v>
      </c>
      <c r="J278" s="688" t="s">
        <v>64</v>
      </c>
      <c r="K278" s="688" t="s">
        <v>485</v>
      </c>
      <c r="L278" s="751"/>
      <c r="M278" s="751"/>
      <c r="N278" s="287"/>
      <c r="O278" s="395"/>
      <c r="P278" s="287"/>
      <c r="Q278" s="136"/>
      <c r="R278" s="136"/>
    </row>
    <row r="279" spans="1:18" s="95" customFormat="1" ht="60">
      <c r="A279" s="30" t="s">
        <v>979</v>
      </c>
      <c r="B279" s="31">
        <v>1146</v>
      </c>
      <c r="C279" s="717"/>
      <c r="D279" s="717"/>
      <c r="E279" s="717"/>
      <c r="F279" s="717"/>
      <c r="G279" s="717"/>
      <c r="H279" s="717"/>
      <c r="I279" s="717" t="s">
        <v>1001</v>
      </c>
      <c r="J279" s="717" t="s">
        <v>64</v>
      </c>
      <c r="K279" s="717" t="s">
        <v>1002</v>
      </c>
      <c r="L279" s="709" t="s">
        <v>29</v>
      </c>
      <c r="M279" s="710" t="s">
        <v>23</v>
      </c>
      <c r="N279" s="171">
        <v>1</v>
      </c>
      <c r="O279" s="368">
        <v>1</v>
      </c>
      <c r="P279" s="171">
        <v>0</v>
      </c>
      <c r="Q279" s="342">
        <v>0</v>
      </c>
      <c r="R279" s="342">
        <v>0</v>
      </c>
    </row>
    <row r="280" spans="1:18" s="95" customFormat="1" ht="60" hidden="1">
      <c r="A280" s="28" t="s">
        <v>534</v>
      </c>
      <c r="B280" s="747">
        <v>1148</v>
      </c>
      <c r="C280" s="810" t="s">
        <v>53</v>
      </c>
      <c r="D280" s="810" t="s">
        <v>487</v>
      </c>
      <c r="E280" s="810" t="s">
        <v>54</v>
      </c>
      <c r="F280" s="810"/>
      <c r="G280" s="810"/>
      <c r="H280" s="810"/>
      <c r="I280" s="810" t="s">
        <v>119</v>
      </c>
      <c r="J280" s="810" t="s">
        <v>64</v>
      </c>
      <c r="K280" s="810" t="s">
        <v>106</v>
      </c>
      <c r="L280" s="709" t="s">
        <v>29</v>
      </c>
      <c r="M280" s="710" t="s">
        <v>30</v>
      </c>
      <c r="N280" s="127">
        <v>0</v>
      </c>
      <c r="O280" s="363"/>
      <c r="P280" s="127"/>
      <c r="Q280" s="127">
        <v>0</v>
      </c>
      <c r="R280" s="127">
        <v>0</v>
      </c>
    </row>
    <row r="281" spans="1:18" s="95" customFormat="1" ht="60" hidden="1">
      <c r="A281" s="28" t="s">
        <v>535</v>
      </c>
      <c r="B281" s="747">
        <v>1149</v>
      </c>
      <c r="C281" s="851"/>
      <c r="D281" s="851"/>
      <c r="E281" s="851"/>
      <c r="F281" s="851"/>
      <c r="G281" s="851"/>
      <c r="H281" s="851"/>
      <c r="I281" s="851"/>
      <c r="J281" s="851"/>
      <c r="K281" s="851"/>
      <c r="L281" s="709" t="s">
        <v>29</v>
      </c>
      <c r="M281" s="710" t="s">
        <v>30</v>
      </c>
      <c r="N281" s="127">
        <v>0</v>
      </c>
      <c r="O281" s="363"/>
      <c r="P281" s="127"/>
      <c r="Q281" s="127">
        <v>0</v>
      </c>
      <c r="R281" s="127">
        <v>0</v>
      </c>
    </row>
    <row r="282" spans="1:18" s="95" customFormat="1" ht="156" customHeight="1">
      <c r="A282" s="28" t="s">
        <v>963</v>
      </c>
      <c r="B282" s="747">
        <v>1200</v>
      </c>
      <c r="C282" s="747" t="s">
        <v>26</v>
      </c>
      <c r="D282" s="747" t="s">
        <v>26</v>
      </c>
      <c r="E282" s="747" t="s">
        <v>26</v>
      </c>
      <c r="F282" s="747" t="s">
        <v>26</v>
      </c>
      <c r="G282" s="747" t="s">
        <v>26</v>
      </c>
      <c r="H282" s="747" t="s">
        <v>26</v>
      </c>
      <c r="I282" s="747" t="s">
        <v>26</v>
      </c>
      <c r="J282" s="747" t="s">
        <v>26</v>
      </c>
      <c r="K282" s="747" t="s">
        <v>26</v>
      </c>
      <c r="L282" s="747"/>
      <c r="M282" s="274"/>
      <c r="N282" s="127">
        <f>N283+N292+N299+N300+N301+N302+N308+N309+N310+N312+N313+N315+N326+N330+N332+N333</f>
        <v>169525.20300000001</v>
      </c>
      <c r="O282" s="127">
        <f t="shared" ref="O282" si="34">O283+O292+O299+O300+O301+O302+O308+O309+O310+O312+O313+O315+O326+O330+O332+O333</f>
        <v>163701.18500000003</v>
      </c>
      <c r="P282" s="127">
        <f>P283+P292+P299+P300+P301+P302+P308+P309+P310+P312+P313+P314+P315+P326+P330+P332+P333</f>
        <v>167615.60799999998</v>
      </c>
      <c r="Q282" s="127">
        <f t="shared" ref="Q282:R282" si="35">Q283+Q292+Q299+Q300+Q301+Q302+Q308+Q309+Q310+Q312+Q313+Q314+Q315+Q326+Q330+Q332+Q333</f>
        <v>156780.97800000003</v>
      </c>
      <c r="R282" s="127">
        <f t="shared" si="35"/>
        <v>156571.698</v>
      </c>
    </row>
    <row r="283" spans="1:18" s="95" customFormat="1" ht="60">
      <c r="A283" s="28" t="s">
        <v>536</v>
      </c>
      <c r="B283" s="747">
        <v>1201</v>
      </c>
      <c r="C283" s="747"/>
      <c r="D283" s="747"/>
      <c r="E283" s="747"/>
      <c r="F283" s="747"/>
      <c r="G283" s="747"/>
      <c r="H283" s="747"/>
      <c r="I283" s="747"/>
      <c r="J283" s="747"/>
      <c r="K283" s="747"/>
      <c r="L283" s="747"/>
      <c r="M283" s="274"/>
      <c r="N283" s="127">
        <f t="shared" ref="N283:R283" si="36">SUM(N285:N291)</f>
        <v>46290.991999999998</v>
      </c>
      <c r="O283" s="127">
        <f t="shared" si="36"/>
        <v>44606.648000000001</v>
      </c>
      <c r="P283" s="127">
        <f t="shared" si="36"/>
        <v>43868.725999999995</v>
      </c>
      <c r="Q283" s="127">
        <f t="shared" si="36"/>
        <v>38754.387999999999</v>
      </c>
      <c r="R283" s="127">
        <f t="shared" si="36"/>
        <v>37979.341</v>
      </c>
    </row>
    <row r="284" spans="1:18" s="95" customFormat="1" ht="12">
      <c r="A284" s="28" t="s">
        <v>89</v>
      </c>
      <c r="B284" s="747"/>
      <c r="C284" s="747"/>
      <c r="D284" s="747"/>
      <c r="E284" s="747"/>
      <c r="F284" s="747"/>
      <c r="G284" s="747"/>
      <c r="H284" s="747"/>
      <c r="I284" s="747"/>
      <c r="J284" s="747"/>
      <c r="K284" s="747"/>
      <c r="L284" s="747"/>
      <c r="M284" s="274"/>
      <c r="N284" s="127"/>
      <c r="O284" s="363"/>
      <c r="P284" s="127"/>
      <c r="Q284" s="127"/>
      <c r="R284" s="127"/>
    </row>
    <row r="285" spans="1:18" s="94" customFormat="1" ht="24" customHeight="1">
      <c r="A285" s="42"/>
      <c r="B285" s="680"/>
      <c r="C285" s="830" t="s">
        <v>58</v>
      </c>
      <c r="D285" s="830" t="s">
        <v>122</v>
      </c>
      <c r="E285" s="972" t="s">
        <v>59</v>
      </c>
      <c r="F285" s="830" t="s">
        <v>330</v>
      </c>
      <c r="G285" s="830" t="s">
        <v>123</v>
      </c>
      <c r="H285" s="830" t="s">
        <v>60</v>
      </c>
      <c r="I285" s="830" t="s">
        <v>124</v>
      </c>
      <c r="J285" s="830" t="s">
        <v>125</v>
      </c>
      <c r="K285" s="830" t="s">
        <v>126</v>
      </c>
      <c r="L285" s="36" t="s">
        <v>29</v>
      </c>
      <c r="M285" s="114" t="s">
        <v>33</v>
      </c>
      <c r="N285" s="52">
        <v>475.94499999999999</v>
      </c>
      <c r="O285" s="364">
        <v>475.94499999999999</v>
      </c>
      <c r="P285" s="52">
        <v>585.79999999999995</v>
      </c>
      <c r="Q285" s="52">
        <v>585.79999999999995</v>
      </c>
      <c r="R285" s="52">
        <v>585.79999999999995</v>
      </c>
    </row>
    <row r="286" spans="1:18" s="94" customFormat="1" ht="24" customHeight="1">
      <c r="A286" s="35"/>
      <c r="B286" s="681"/>
      <c r="C286" s="838"/>
      <c r="D286" s="838"/>
      <c r="E286" s="973"/>
      <c r="F286" s="838"/>
      <c r="G286" s="838"/>
      <c r="H286" s="838"/>
      <c r="I286" s="838"/>
      <c r="J286" s="838"/>
      <c r="K286" s="838"/>
      <c r="L286" s="719" t="s">
        <v>29</v>
      </c>
      <c r="M286" s="115" t="s">
        <v>38</v>
      </c>
      <c r="N286" s="37">
        <v>1013.2</v>
      </c>
      <c r="O286" s="369">
        <v>984.21500000000003</v>
      </c>
      <c r="P286" s="37">
        <v>627.4</v>
      </c>
      <c r="Q286" s="37">
        <v>796.2</v>
      </c>
      <c r="R286" s="37">
        <v>797.4</v>
      </c>
    </row>
    <row r="287" spans="1:18" s="94" customFormat="1" ht="60" customHeight="1">
      <c r="A287" s="35"/>
      <c r="B287" s="681"/>
      <c r="C287" s="697" t="s">
        <v>53</v>
      </c>
      <c r="D287" s="697" t="s">
        <v>659</v>
      </c>
      <c r="E287" s="765" t="s">
        <v>127</v>
      </c>
      <c r="F287" s="697"/>
      <c r="G287" s="697"/>
      <c r="H287" s="697"/>
      <c r="I287" s="697" t="s">
        <v>1269</v>
      </c>
      <c r="J287" s="697" t="s">
        <v>660</v>
      </c>
      <c r="K287" s="697" t="s">
        <v>57</v>
      </c>
      <c r="L287" s="719" t="s">
        <v>29</v>
      </c>
      <c r="M287" s="115" t="s">
        <v>34</v>
      </c>
      <c r="N287" s="37">
        <f>1089.2+26071.567</f>
        <v>27160.767</v>
      </c>
      <c r="O287" s="369">
        <f>951.198+24832.667</f>
        <v>25783.865000000002</v>
      </c>
      <c r="P287" s="37">
        <f>1077.8+24430.785</f>
        <v>25508.584999999999</v>
      </c>
      <c r="Q287" s="37">
        <v>21312.637999999999</v>
      </c>
      <c r="R287" s="37">
        <v>20944.891</v>
      </c>
    </row>
    <row r="288" spans="1:18" s="94" customFormat="1" ht="71.25" customHeight="1">
      <c r="A288" s="35"/>
      <c r="B288" s="681"/>
      <c r="C288" s="697" t="s">
        <v>643</v>
      </c>
      <c r="D288" s="697" t="s">
        <v>644</v>
      </c>
      <c r="E288" s="765" t="s">
        <v>645</v>
      </c>
      <c r="F288" s="697"/>
      <c r="G288" s="697"/>
      <c r="H288" s="697"/>
      <c r="I288" s="697" t="s">
        <v>1107</v>
      </c>
      <c r="J288" s="697" t="s">
        <v>64</v>
      </c>
      <c r="K288" s="697" t="s">
        <v>67</v>
      </c>
      <c r="L288" s="552" t="s">
        <v>29</v>
      </c>
      <c r="M288" s="121" t="s">
        <v>30</v>
      </c>
      <c r="N288" s="37">
        <f>6643.3+291.507</f>
        <v>6934.8069999999998</v>
      </c>
      <c r="O288" s="369">
        <f>6606.467+291.451</f>
        <v>6897.9179999999997</v>
      </c>
      <c r="P288" s="37">
        <f>6424.86+279.79</f>
        <v>6704.65</v>
      </c>
      <c r="Q288" s="37">
        <f>6314.46+285.79</f>
        <v>6600.25</v>
      </c>
      <c r="R288" s="37">
        <f>6327.66+285.79</f>
        <v>6613.45</v>
      </c>
    </row>
    <row r="289" spans="1:18" s="94" customFormat="1" ht="84">
      <c r="A289" s="35"/>
      <c r="B289" s="681"/>
      <c r="C289" s="692" t="s">
        <v>675</v>
      </c>
      <c r="D289" s="692" t="s">
        <v>676</v>
      </c>
      <c r="E289" s="727" t="s">
        <v>204</v>
      </c>
      <c r="F289" s="692"/>
      <c r="G289" s="692"/>
      <c r="H289" s="692"/>
      <c r="I289" s="692" t="s">
        <v>790</v>
      </c>
      <c r="J289" s="692" t="s">
        <v>128</v>
      </c>
      <c r="K289" s="692" t="s">
        <v>129</v>
      </c>
      <c r="L289" s="681" t="s">
        <v>40</v>
      </c>
      <c r="M289" s="681" t="s">
        <v>35</v>
      </c>
      <c r="N289" s="43">
        <v>6905.6229999999996</v>
      </c>
      <c r="O289" s="384">
        <v>6774.93</v>
      </c>
      <c r="P289" s="43">
        <v>6928.2709999999997</v>
      </c>
      <c r="Q289" s="43">
        <v>6311.1</v>
      </c>
      <c r="R289" s="43">
        <v>6123.6</v>
      </c>
    </row>
    <row r="290" spans="1:18" s="94" customFormat="1" ht="72">
      <c r="A290" s="35"/>
      <c r="B290" s="681"/>
      <c r="C290" s="692"/>
      <c r="D290" s="692"/>
      <c r="E290" s="692"/>
      <c r="F290" s="692"/>
      <c r="G290" s="692"/>
      <c r="H290" s="692"/>
      <c r="I290" s="692" t="s">
        <v>789</v>
      </c>
      <c r="J290" s="727" t="s">
        <v>64</v>
      </c>
      <c r="K290" s="5" t="s">
        <v>106</v>
      </c>
      <c r="L290" s="681" t="s">
        <v>37</v>
      </c>
      <c r="M290" s="681" t="s">
        <v>34</v>
      </c>
      <c r="N290" s="43">
        <f>3512.144+288.356</f>
        <v>3800.5</v>
      </c>
      <c r="O290" s="384">
        <f>3401.269+288.356</f>
        <v>3689.625</v>
      </c>
      <c r="P290" s="43">
        <v>3514.02</v>
      </c>
      <c r="Q290" s="43">
        <v>3148.4</v>
      </c>
      <c r="R290" s="43">
        <v>2914.2</v>
      </c>
    </row>
    <row r="291" spans="1:18" s="94" customFormat="1" ht="12">
      <c r="A291" s="38"/>
      <c r="B291" s="688"/>
      <c r="C291" s="693"/>
      <c r="D291" s="693"/>
      <c r="E291" s="693"/>
      <c r="F291" s="693"/>
      <c r="G291" s="693"/>
      <c r="H291" s="693"/>
      <c r="I291" s="693"/>
      <c r="J291" s="259"/>
      <c r="K291" s="149"/>
      <c r="L291" s="688">
        <v>10</v>
      </c>
      <c r="M291" s="681" t="s">
        <v>34</v>
      </c>
      <c r="N291" s="48">
        <v>0.15</v>
      </c>
      <c r="O291" s="358">
        <v>0.15</v>
      </c>
      <c r="P291" s="48">
        <v>0</v>
      </c>
      <c r="Q291" s="48">
        <v>0</v>
      </c>
      <c r="R291" s="48">
        <v>0</v>
      </c>
    </row>
    <row r="292" spans="1:18" s="95" customFormat="1" ht="60">
      <c r="A292" s="30" t="s">
        <v>537</v>
      </c>
      <c r="B292" s="31">
        <v>1202</v>
      </c>
      <c r="C292" s="176"/>
      <c r="D292" s="176"/>
      <c r="E292" s="176"/>
      <c r="F292" s="176"/>
      <c r="G292" s="176"/>
      <c r="H292" s="176"/>
      <c r="I292" s="176"/>
      <c r="J292" s="177"/>
      <c r="K292" s="178"/>
      <c r="L292" s="31"/>
      <c r="M292" s="747"/>
      <c r="N292" s="29">
        <f t="shared" ref="N292:R292" si="37">SUM(N293:N298)</f>
        <v>79688.123000000007</v>
      </c>
      <c r="O292" s="29">
        <f t="shared" si="37"/>
        <v>78686.437999999995</v>
      </c>
      <c r="P292" s="29">
        <f t="shared" si="37"/>
        <v>76508.258999999991</v>
      </c>
      <c r="Q292" s="29">
        <f t="shared" si="37"/>
        <v>76279.650000000009</v>
      </c>
      <c r="R292" s="29">
        <f t="shared" si="37"/>
        <v>76279.650000000009</v>
      </c>
    </row>
    <row r="293" spans="1:18" s="94" customFormat="1" ht="70.5" customHeight="1">
      <c r="A293" s="42"/>
      <c r="B293" s="680"/>
      <c r="C293" s="691" t="s">
        <v>58</v>
      </c>
      <c r="D293" s="691" t="s">
        <v>122</v>
      </c>
      <c r="E293" s="560" t="s">
        <v>59</v>
      </c>
      <c r="F293" s="691" t="s">
        <v>330</v>
      </c>
      <c r="G293" s="691" t="s">
        <v>123</v>
      </c>
      <c r="H293" s="691" t="s">
        <v>60</v>
      </c>
      <c r="I293" s="828" t="s">
        <v>1499</v>
      </c>
      <c r="J293" s="828" t="s">
        <v>64</v>
      </c>
      <c r="K293" s="828" t="s">
        <v>466</v>
      </c>
      <c r="L293" s="514" t="s">
        <v>29</v>
      </c>
      <c r="M293" s="773" t="s">
        <v>33</v>
      </c>
      <c r="N293" s="505">
        <v>2016.135</v>
      </c>
      <c r="O293" s="505">
        <v>1901.31</v>
      </c>
      <c r="P293" s="505">
        <v>1950</v>
      </c>
      <c r="Q293" s="505">
        <v>1950</v>
      </c>
      <c r="R293" s="505">
        <v>1950</v>
      </c>
    </row>
    <row r="294" spans="1:18" s="94" customFormat="1" ht="96" customHeight="1">
      <c r="A294" s="412"/>
      <c r="B294" s="736"/>
      <c r="C294" s="692" t="s">
        <v>643</v>
      </c>
      <c r="D294" s="692" t="s">
        <v>644</v>
      </c>
      <c r="E294" s="690" t="s">
        <v>645</v>
      </c>
      <c r="F294" s="672"/>
      <c r="G294" s="672"/>
      <c r="H294" s="672"/>
      <c r="I294" s="794"/>
      <c r="J294" s="794"/>
      <c r="K294" s="794"/>
      <c r="L294" s="515"/>
      <c r="M294" s="435"/>
      <c r="N294" s="369"/>
      <c r="O294" s="369"/>
      <c r="P294" s="369"/>
      <c r="Q294" s="369"/>
      <c r="R294" s="369"/>
    </row>
    <row r="295" spans="1:18" s="94" customFormat="1" ht="37.5" customHeight="1">
      <c r="A295" s="35"/>
      <c r="B295" s="681"/>
      <c r="C295" s="692"/>
      <c r="D295" s="692"/>
      <c r="E295" s="690"/>
      <c r="F295" s="692"/>
      <c r="G295" s="692"/>
      <c r="H295" s="692"/>
      <c r="I295" s="703" t="s">
        <v>124</v>
      </c>
      <c r="J295" s="692" t="s">
        <v>125</v>
      </c>
      <c r="K295" s="692" t="s">
        <v>126</v>
      </c>
      <c r="L295" s="123" t="s">
        <v>29</v>
      </c>
      <c r="M295" s="553" t="s">
        <v>34</v>
      </c>
      <c r="N295" s="87">
        <v>36740.290999999997</v>
      </c>
      <c r="O295" s="87">
        <v>36304.673000000003</v>
      </c>
      <c r="P295" s="87">
        <v>34092</v>
      </c>
      <c r="Q295" s="87">
        <v>33960</v>
      </c>
      <c r="R295" s="87">
        <v>33960</v>
      </c>
    </row>
    <row r="296" spans="1:18" s="94" customFormat="1" ht="73.5" customHeight="1">
      <c r="A296" s="35"/>
      <c r="B296" s="681"/>
      <c r="C296" s="692" t="s">
        <v>332</v>
      </c>
      <c r="D296" s="692" t="s">
        <v>661</v>
      </c>
      <c r="E296" s="692" t="s">
        <v>61</v>
      </c>
      <c r="F296" s="692" t="s">
        <v>649</v>
      </c>
      <c r="G296" s="692" t="s">
        <v>662</v>
      </c>
      <c r="H296" s="692" t="s">
        <v>62</v>
      </c>
      <c r="I296" s="697" t="s">
        <v>1107</v>
      </c>
      <c r="J296" s="697" t="s">
        <v>64</v>
      </c>
      <c r="K296" s="697" t="s">
        <v>67</v>
      </c>
      <c r="L296" s="123" t="s">
        <v>29</v>
      </c>
      <c r="M296" s="553" t="s">
        <v>30</v>
      </c>
      <c r="N296" s="87">
        <f>15964.075+969.099</f>
        <v>16933.173999999999</v>
      </c>
      <c r="O296" s="87">
        <f>15889.411+969.069</f>
        <v>16858.48</v>
      </c>
      <c r="P296" s="87">
        <f>15981.24+952.11</f>
        <v>16933.349999999999</v>
      </c>
      <c r="Q296" s="87">
        <f>15958.24+946.11</f>
        <v>16904.349999999999</v>
      </c>
      <c r="R296" s="87">
        <f>15958.24+946.11</f>
        <v>16904.349999999999</v>
      </c>
    </row>
    <row r="297" spans="1:18" s="94" customFormat="1" ht="84">
      <c r="A297" s="35"/>
      <c r="B297" s="681"/>
      <c r="C297" s="697" t="s">
        <v>675</v>
      </c>
      <c r="D297" s="697" t="s">
        <v>676</v>
      </c>
      <c r="E297" s="716" t="s">
        <v>204</v>
      </c>
      <c r="F297" s="692"/>
      <c r="G297" s="692"/>
      <c r="H297" s="692"/>
      <c r="I297" s="697" t="s">
        <v>790</v>
      </c>
      <c r="J297" s="697" t="s">
        <v>128</v>
      </c>
      <c r="K297" s="697" t="s">
        <v>129</v>
      </c>
      <c r="L297" s="123" t="s">
        <v>40</v>
      </c>
      <c r="M297" s="553" t="s">
        <v>35</v>
      </c>
      <c r="N297" s="87">
        <v>15326.423000000001</v>
      </c>
      <c r="O297" s="87">
        <v>15007.733</v>
      </c>
      <c r="P297" s="87">
        <v>15482.629000000001</v>
      </c>
      <c r="Q297" s="87">
        <v>15422.7</v>
      </c>
      <c r="R297" s="87">
        <v>15422.7</v>
      </c>
    </row>
    <row r="298" spans="1:18" s="94" customFormat="1" ht="72">
      <c r="A298" s="38"/>
      <c r="B298" s="688"/>
      <c r="C298" s="693"/>
      <c r="D298" s="693"/>
      <c r="E298" s="693"/>
      <c r="F298" s="693"/>
      <c r="G298" s="693"/>
      <c r="H298" s="693"/>
      <c r="I298" s="692" t="s">
        <v>789</v>
      </c>
      <c r="J298" s="727" t="s">
        <v>64</v>
      </c>
      <c r="K298" s="5" t="s">
        <v>106</v>
      </c>
      <c r="L298" s="123" t="s">
        <v>37</v>
      </c>
      <c r="M298" s="553" t="s">
        <v>34</v>
      </c>
      <c r="N298" s="87">
        <v>8672.1</v>
      </c>
      <c r="O298" s="87">
        <v>8614.2420000000002</v>
      </c>
      <c r="P298" s="87">
        <v>8050.28</v>
      </c>
      <c r="Q298" s="87">
        <v>8042.6</v>
      </c>
      <c r="R298" s="87">
        <v>8042.6</v>
      </c>
    </row>
    <row r="299" spans="1:18" s="95" customFormat="1" ht="72" hidden="1">
      <c r="A299" s="28" t="s">
        <v>538</v>
      </c>
      <c r="B299" s="747">
        <v>1203</v>
      </c>
      <c r="C299" s="179"/>
      <c r="D299" s="179"/>
      <c r="E299" s="179"/>
      <c r="F299" s="179"/>
      <c r="G299" s="179"/>
      <c r="H299" s="179"/>
      <c r="I299" s="179"/>
      <c r="J299" s="180"/>
      <c r="K299" s="181"/>
      <c r="L299" s="720"/>
      <c r="M299" s="720"/>
      <c r="N299" s="82"/>
      <c r="O299" s="82"/>
      <c r="P299" s="82"/>
      <c r="Q299" s="82"/>
      <c r="R299" s="82"/>
    </row>
    <row r="300" spans="1:18" s="95" customFormat="1" ht="60" hidden="1" customHeight="1">
      <c r="A300" s="749" t="s">
        <v>539</v>
      </c>
      <c r="B300" s="747">
        <v>1204</v>
      </c>
      <c r="C300" s="691" t="s">
        <v>53</v>
      </c>
      <c r="D300" s="691" t="s">
        <v>336</v>
      </c>
      <c r="E300" s="560" t="s">
        <v>127</v>
      </c>
      <c r="F300" s="28" t="s">
        <v>28</v>
      </c>
      <c r="G300" s="28" t="s">
        <v>28</v>
      </c>
      <c r="H300" s="28" t="s">
        <v>28</v>
      </c>
      <c r="I300" s="680" t="s">
        <v>340</v>
      </c>
      <c r="J300" s="42" t="s">
        <v>64</v>
      </c>
      <c r="K300" s="158" t="s">
        <v>341</v>
      </c>
      <c r="L300" s="350" t="s">
        <v>23</v>
      </c>
      <c r="M300" s="409" t="s">
        <v>29</v>
      </c>
      <c r="N300" s="62"/>
      <c r="O300" s="390"/>
      <c r="P300" s="62"/>
      <c r="Q300" s="62"/>
      <c r="R300" s="62"/>
    </row>
    <row r="301" spans="1:18" s="95" customFormat="1" ht="72" customHeight="1">
      <c r="A301" s="28" t="s">
        <v>540</v>
      </c>
      <c r="B301" s="747">
        <v>1206</v>
      </c>
      <c r="C301" s="664" t="s">
        <v>53</v>
      </c>
      <c r="D301" s="664" t="s">
        <v>335</v>
      </c>
      <c r="E301" s="664" t="s">
        <v>54</v>
      </c>
      <c r="F301" s="664"/>
      <c r="G301" s="664"/>
      <c r="H301" s="664"/>
      <c r="I301" s="664" t="s">
        <v>1149</v>
      </c>
      <c r="J301" s="664" t="s">
        <v>64</v>
      </c>
      <c r="K301" s="208" t="s">
        <v>57</v>
      </c>
      <c r="L301" s="182" t="s">
        <v>29</v>
      </c>
      <c r="M301" s="183" t="s">
        <v>34</v>
      </c>
      <c r="N301" s="243">
        <v>910</v>
      </c>
      <c r="O301" s="243">
        <v>910</v>
      </c>
      <c r="P301" s="243">
        <v>0</v>
      </c>
      <c r="Q301" s="243">
        <v>0</v>
      </c>
      <c r="R301" s="243">
        <v>0</v>
      </c>
    </row>
    <row r="302" spans="1:18" s="95" customFormat="1" ht="121.5" customHeight="1">
      <c r="A302" s="28" t="s">
        <v>541</v>
      </c>
      <c r="B302" s="747">
        <v>1208</v>
      </c>
      <c r="C302" s="28" t="s">
        <v>28</v>
      </c>
      <c r="D302" s="28" t="s">
        <v>28</v>
      </c>
      <c r="E302" s="28" t="s">
        <v>28</v>
      </c>
      <c r="F302" s="28" t="s">
        <v>28</v>
      </c>
      <c r="G302" s="28" t="s">
        <v>28</v>
      </c>
      <c r="H302" s="28" t="s">
        <v>28</v>
      </c>
      <c r="I302" s="28" t="s">
        <v>28</v>
      </c>
      <c r="J302" s="28" t="s">
        <v>28</v>
      </c>
      <c r="K302" s="28" t="s">
        <v>28</v>
      </c>
      <c r="L302" s="747" t="s">
        <v>29</v>
      </c>
      <c r="M302" s="274" t="s">
        <v>23</v>
      </c>
      <c r="N302" s="127">
        <f>SUM(N304:N307)</f>
        <v>12571.476999999999</v>
      </c>
      <c r="O302" s="127">
        <f t="shared" ref="O302:R302" si="38">SUM(O304:O307)</f>
        <v>12526.03</v>
      </c>
      <c r="P302" s="127">
        <f t="shared" si="38"/>
        <v>12224.33</v>
      </c>
      <c r="Q302" s="127">
        <f t="shared" si="38"/>
        <v>12097.300000000001</v>
      </c>
      <c r="R302" s="127">
        <f t="shared" si="38"/>
        <v>12136</v>
      </c>
    </row>
    <row r="303" spans="1:18" s="94" customFormat="1" ht="12">
      <c r="A303" s="42" t="s">
        <v>89</v>
      </c>
      <c r="B303" s="680"/>
      <c r="C303" s="42"/>
      <c r="D303" s="42"/>
      <c r="E303" s="42"/>
      <c r="F303" s="42"/>
      <c r="G303" s="42"/>
      <c r="H303" s="42"/>
      <c r="I303" s="42"/>
      <c r="J303" s="42"/>
      <c r="K303" s="42"/>
      <c r="L303" s="680"/>
      <c r="M303" s="704"/>
      <c r="N303" s="52"/>
      <c r="O303" s="364"/>
      <c r="P303" s="52"/>
      <c r="Q303" s="52"/>
      <c r="R303" s="52"/>
    </row>
    <row r="304" spans="1:18" s="94" customFormat="1" ht="50.25" customHeight="1">
      <c r="A304" s="42"/>
      <c r="B304" s="680"/>
      <c r="C304" s="701" t="s">
        <v>53</v>
      </c>
      <c r="D304" s="701" t="s">
        <v>131</v>
      </c>
      <c r="E304" s="701" t="s">
        <v>54</v>
      </c>
      <c r="F304" s="842" t="s">
        <v>331</v>
      </c>
      <c r="G304" s="842" t="s">
        <v>658</v>
      </c>
      <c r="H304" s="842" t="s">
        <v>62</v>
      </c>
      <c r="I304" s="701" t="s">
        <v>132</v>
      </c>
      <c r="J304" s="507" t="s">
        <v>133</v>
      </c>
      <c r="K304" s="694" t="s">
        <v>134</v>
      </c>
      <c r="L304" s="36"/>
      <c r="M304" s="114"/>
      <c r="N304" s="52">
        <f>3618.48+8952.997</f>
        <v>12571.476999999999</v>
      </c>
      <c r="O304" s="364">
        <f>3576.197+8949.833</f>
        <v>12526.03</v>
      </c>
      <c r="P304" s="52">
        <f>3571.83+8652.5</f>
        <v>12224.33</v>
      </c>
      <c r="Q304" s="52">
        <f>3467.6+8629.7</f>
        <v>12097.300000000001</v>
      </c>
      <c r="R304" s="52">
        <f>3467.6+8668.4</f>
        <v>12136</v>
      </c>
    </row>
    <row r="305" spans="1:18" s="94" customFormat="1" ht="65.25" customHeight="1">
      <c r="A305" s="35"/>
      <c r="B305" s="681"/>
      <c r="C305" s="794" t="s">
        <v>332</v>
      </c>
      <c r="D305" s="794" t="s">
        <v>104</v>
      </c>
      <c r="E305" s="794" t="s">
        <v>61</v>
      </c>
      <c r="F305" s="794"/>
      <c r="G305" s="794"/>
      <c r="H305" s="794"/>
      <c r="I305" s="509"/>
      <c r="J305" s="508"/>
      <c r="K305" s="17"/>
      <c r="L305" s="719"/>
      <c r="M305" s="115"/>
      <c r="N305" s="37"/>
      <c r="O305" s="369"/>
      <c r="P305" s="37"/>
      <c r="Q305" s="37"/>
      <c r="R305" s="37"/>
    </row>
    <row r="306" spans="1:18" s="94" customFormat="1" ht="32.25" customHeight="1">
      <c r="A306" s="412"/>
      <c r="B306" s="736"/>
      <c r="C306" s="794"/>
      <c r="D306" s="794"/>
      <c r="E306" s="794"/>
      <c r="F306" s="794" t="s">
        <v>138</v>
      </c>
      <c r="G306" s="794" t="s">
        <v>139</v>
      </c>
      <c r="H306" s="794" t="s">
        <v>140</v>
      </c>
      <c r="I306" s="509"/>
      <c r="J306" s="508"/>
      <c r="K306" s="506"/>
      <c r="L306" s="662"/>
      <c r="M306" s="662"/>
      <c r="N306" s="369"/>
      <c r="O306" s="369"/>
      <c r="P306" s="369"/>
      <c r="Q306" s="369"/>
      <c r="R306" s="369"/>
    </row>
    <row r="307" spans="1:18" s="94" customFormat="1" ht="88.5" customHeight="1">
      <c r="A307" s="35"/>
      <c r="B307" s="681"/>
      <c r="C307" s="700" t="s">
        <v>135</v>
      </c>
      <c r="D307" s="700" t="s">
        <v>136</v>
      </c>
      <c r="E307" s="510" t="s">
        <v>137</v>
      </c>
      <c r="F307" s="841"/>
      <c r="G307" s="841"/>
      <c r="H307" s="841"/>
      <c r="I307" s="700" t="s">
        <v>1108</v>
      </c>
      <c r="J307" s="201" t="s">
        <v>64</v>
      </c>
      <c r="K307" s="692" t="s">
        <v>141</v>
      </c>
      <c r="L307" s="681"/>
      <c r="M307" s="705"/>
      <c r="N307" s="37"/>
      <c r="O307" s="369"/>
      <c r="P307" s="37"/>
      <c r="Q307" s="37"/>
      <c r="R307" s="37"/>
    </row>
    <row r="308" spans="1:18" s="95" customFormat="1" ht="84" hidden="1" customHeight="1">
      <c r="A308" s="945" t="s">
        <v>542</v>
      </c>
      <c r="B308" s="184">
        <v>1213</v>
      </c>
      <c r="C308" s="501" t="s">
        <v>333</v>
      </c>
      <c r="D308" s="501" t="s">
        <v>142</v>
      </c>
      <c r="E308" s="501" t="s">
        <v>143</v>
      </c>
      <c r="F308" s="501" t="s">
        <v>334</v>
      </c>
      <c r="G308" s="501" t="s">
        <v>144</v>
      </c>
      <c r="H308" s="501" t="s">
        <v>145</v>
      </c>
      <c r="I308" s="501" t="s">
        <v>849</v>
      </c>
      <c r="J308" s="501" t="s">
        <v>133</v>
      </c>
      <c r="K308" s="501" t="s">
        <v>60</v>
      </c>
      <c r="L308" s="54" t="s">
        <v>29</v>
      </c>
      <c r="M308" s="54" t="s">
        <v>40</v>
      </c>
      <c r="N308" s="127"/>
      <c r="O308" s="363"/>
      <c r="P308" s="127"/>
      <c r="Q308" s="127"/>
      <c r="R308" s="127"/>
    </row>
    <row r="309" spans="1:18" s="95" customFormat="1" ht="96" hidden="1">
      <c r="A309" s="917"/>
      <c r="B309" s="199"/>
      <c r="C309" s="502" t="s">
        <v>146</v>
      </c>
      <c r="D309" s="502" t="s">
        <v>147</v>
      </c>
      <c r="E309" s="502" t="s">
        <v>148</v>
      </c>
      <c r="F309" s="502" t="s">
        <v>149</v>
      </c>
      <c r="G309" s="502" t="s">
        <v>150</v>
      </c>
      <c r="H309" s="502" t="s">
        <v>151</v>
      </c>
      <c r="I309" s="502" t="s">
        <v>1019</v>
      </c>
      <c r="J309" s="195" t="s">
        <v>64</v>
      </c>
      <c r="K309" s="502" t="s">
        <v>988</v>
      </c>
      <c r="L309" s="730"/>
      <c r="M309" s="730"/>
      <c r="N309" s="62"/>
      <c r="O309" s="390"/>
      <c r="P309" s="62"/>
      <c r="Q309" s="62"/>
      <c r="R309" s="62"/>
    </row>
    <row r="310" spans="1:18" s="95" customFormat="1" ht="60" hidden="1">
      <c r="A310" s="917"/>
      <c r="B310" s="230" t="s">
        <v>453</v>
      </c>
      <c r="C310" s="502" t="s">
        <v>53</v>
      </c>
      <c r="D310" s="502" t="s">
        <v>152</v>
      </c>
      <c r="E310" s="502" t="s">
        <v>54</v>
      </c>
      <c r="F310" s="502" t="s">
        <v>153</v>
      </c>
      <c r="G310" s="502" t="s">
        <v>154</v>
      </c>
      <c r="H310" s="502" t="s">
        <v>155</v>
      </c>
      <c r="I310" s="502" t="s">
        <v>990</v>
      </c>
      <c r="J310" s="195" t="s">
        <v>64</v>
      </c>
      <c r="K310" s="502" t="s">
        <v>991</v>
      </c>
      <c r="L310" s="730" t="s">
        <v>29</v>
      </c>
      <c r="M310" s="730" t="s">
        <v>40</v>
      </c>
      <c r="N310" s="62"/>
      <c r="O310" s="390"/>
      <c r="P310" s="62"/>
      <c r="Q310" s="62"/>
      <c r="R310" s="62"/>
    </row>
    <row r="311" spans="1:18" s="95" customFormat="1" ht="72" hidden="1">
      <c r="A311" s="918"/>
      <c r="B311" s="199"/>
      <c r="C311" s="576" t="s">
        <v>156</v>
      </c>
      <c r="D311" s="576" t="s">
        <v>157</v>
      </c>
      <c r="E311" s="576" t="s">
        <v>158</v>
      </c>
      <c r="F311" s="577"/>
      <c r="G311" s="577"/>
      <c r="H311" s="577"/>
      <c r="I311" s="578"/>
      <c r="J311" s="578"/>
      <c r="K311" s="578"/>
      <c r="L311" s="579"/>
      <c r="M311" s="119"/>
      <c r="N311" s="390"/>
      <c r="O311" s="390"/>
      <c r="P311" s="390"/>
      <c r="Q311" s="390"/>
      <c r="R311" s="390"/>
    </row>
    <row r="312" spans="1:18" s="95" customFormat="1" ht="144.75" customHeight="1">
      <c r="A312" s="913" t="s">
        <v>750</v>
      </c>
      <c r="B312" s="720">
        <v>1219</v>
      </c>
      <c r="C312" s="712" t="s">
        <v>53</v>
      </c>
      <c r="D312" s="712" t="s">
        <v>159</v>
      </c>
      <c r="E312" s="143" t="s">
        <v>127</v>
      </c>
      <c r="F312" s="712" t="s">
        <v>55</v>
      </c>
      <c r="G312" s="712" t="s">
        <v>56</v>
      </c>
      <c r="H312" s="712" t="s">
        <v>60</v>
      </c>
      <c r="I312" s="712" t="s">
        <v>160</v>
      </c>
      <c r="J312" s="712" t="s">
        <v>161</v>
      </c>
      <c r="K312" s="712" t="s">
        <v>57</v>
      </c>
      <c r="L312" s="682" t="s">
        <v>40</v>
      </c>
      <c r="M312" s="682" t="s">
        <v>32</v>
      </c>
      <c r="N312" s="82">
        <v>513.86400000000003</v>
      </c>
      <c r="O312" s="82">
        <v>473.464</v>
      </c>
      <c r="P312" s="82">
        <v>345.1</v>
      </c>
      <c r="Q312" s="82">
        <v>226.1</v>
      </c>
      <c r="R312" s="82">
        <v>135.19999999999999</v>
      </c>
    </row>
    <row r="313" spans="1:18" s="95" customFormat="1" ht="156" hidden="1">
      <c r="A313" s="913"/>
      <c r="B313" s="682" t="s">
        <v>727</v>
      </c>
      <c r="C313" s="712"/>
      <c r="D313" s="712"/>
      <c r="E313" s="143"/>
      <c r="F313" s="712"/>
      <c r="G313" s="712"/>
      <c r="H313" s="712"/>
      <c r="I313" s="702" t="s">
        <v>1014</v>
      </c>
      <c r="J313" s="702" t="s">
        <v>64</v>
      </c>
      <c r="K313" s="713" t="s">
        <v>851</v>
      </c>
      <c r="L313" s="682" t="s">
        <v>40</v>
      </c>
      <c r="M313" s="682" t="s">
        <v>32</v>
      </c>
      <c r="N313" s="82">
        <v>0</v>
      </c>
      <c r="O313" s="82">
        <v>0</v>
      </c>
      <c r="P313" s="82">
        <v>0</v>
      </c>
      <c r="Q313" s="82">
        <v>0</v>
      </c>
      <c r="R313" s="82">
        <v>0</v>
      </c>
    </row>
    <row r="314" spans="1:18" s="95" customFormat="1" ht="120" customHeight="1">
      <c r="A314" s="586" t="s">
        <v>1339</v>
      </c>
      <c r="B314" s="682" t="s">
        <v>1340</v>
      </c>
      <c r="C314" s="664" t="s">
        <v>53</v>
      </c>
      <c r="D314" s="664" t="s">
        <v>1341</v>
      </c>
      <c r="E314" s="664" t="s">
        <v>54</v>
      </c>
      <c r="F314" s="712"/>
      <c r="G314" s="712"/>
      <c r="H314" s="712"/>
      <c r="I314" s="702" t="s">
        <v>1299</v>
      </c>
      <c r="J314" s="702" t="s">
        <v>64</v>
      </c>
      <c r="K314" s="713" t="s">
        <v>1300</v>
      </c>
      <c r="L314" s="682" t="s">
        <v>32</v>
      </c>
      <c r="M314" s="682" t="s">
        <v>32</v>
      </c>
      <c r="N314" s="82">
        <v>0</v>
      </c>
      <c r="O314" s="82">
        <v>0</v>
      </c>
      <c r="P314" s="546">
        <v>10</v>
      </c>
      <c r="Q314" s="546">
        <v>10</v>
      </c>
      <c r="R314" s="546">
        <v>10</v>
      </c>
    </row>
    <row r="315" spans="1:18" s="95" customFormat="1" ht="21" customHeight="1">
      <c r="A315" s="918" t="s">
        <v>964</v>
      </c>
      <c r="B315" s="979">
        <v>1221</v>
      </c>
      <c r="C315" s="794" t="s">
        <v>646</v>
      </c>
      <c r="D315" s="794" t="s">
        <v>647</v>
      </c>
      <c r="E315" s="835" t="s">
        <v>648</v>
      </c>
      <c r="F315" s="794" t="s">
        <v>649</v>
      </c>
      <c r="G315" s="794" t="s">
        <v>650</v>
      </c>
      <c r="H315" s="835" t="s">
        <v>62</v>
      </c>
      <c r="I315" s="794" t="s">
        <v>978</v>
      </c>
      <c r="J315" s="794" t="s">
        <v>64</v>
      </c>
      <c r="K315" s="794" t="s">
        <v>65</v>
      </c>
      <c r="L315" s="580"/>
      <c r="M315" s="581"/>
      <c r="N315" s="582">
        <f>SUM(N316:N325)</f>
        <v>4519.424</v>
      </c>
      <c r="O315" s="582">
        <f t="shared" ref="O315:R315" si="39">SUM(O316:O325)</f>
        <v>4470.4879999999994</v>
      </c>
      <c r="P315" s="574">
        <f t="shared" si="39"/>
        <v>9136.4</v>
      </c>
      <c r="Q315" s="574">
        <f t="shared" si="39"/>
        <v>5808</v>
      </c>
      <c r="R315" s="574">
        <f t="shared" si="39"/>
        <v>6104.22</v>
      </c>
    </row>
    <row r="316" spans="1:18" s="94" customFormat="1" ht="21" customHeight="1">
      <c r="A316" s="917"/>
      <c r="B316" s="944"/>
      <c r="C316" s="826"/>
      <c r="D316" s="826"/>
      <c r="E316" s="836"/>
      <c r="F316" s="826"/>
      <c r="G316" s="826"/>
      <c r="H316" s="836"/>
      <c r="I316" s="826"/>
      <c r="J316" s="826"/>
      <c r="K316" s="826"/>
      <c r="L316" s="186" t="s">
        <v>29</v>
      </c>
      <c r="M316" s="164" t="s">
        <v>34</v>
      </c>
      <c r="N316" s="172">
        <v>322.14800000000002</v>
      </c>
      <c r="O316" s="394">
        <v>322.14800000000002</v>
      </c>
      <c r="P316" s="172">
        <v>936</v>
      </c>
      <c r="Q316" s="172">
        <v>0</v>
      </c>
      <c r="R316" s="172">
        <v>0</v>
      </c>
    </row>
    <row r="317" spans="1:18" s="94" customFormat="1" ht="21" customHeight="1">
      <c r="A317" s="917"/>
      <c r="B317" s="944"/>
      <c r="C317" s="826"/>
      <c r="D317" s="826"/>
      <c r="E317" s="836"/>
      <c r="F317" s="826"/>
      <c r="G317" s="826"/>
      <c r="H317" s="836"/>
      <c r="I317" s="826"/>
      <c r="J317" s="826"/>
      <c r="K317" s="826"/>
      <c r="L317" s="186" t="s">
        <v>29</v>
      </c>
      <c r="M317" s="164" t="s">
        <v>30</v>
      </c>
      <c r="N317" s="172">
        <v>193.90899999999999</v>
      </c>
      <c r="O317" s="394">
        <v>193.90899999999999</v>
      </c>
      <c r="P317" s="172">
        <v>993</v>
      </c>
      <c r="Q317" s="172">
        <v>0</v>
      </c>
      <c r="R317" s="172">
        <v>180</v>
      </c>
    </row>
    <row r="318" spans="1:18" s="94" customFormat="1" ht="21" customHeight="1">
      <c r="A318" s="917"/>
      <c r="B318" s="944"/>
      <c r="C318" s="826"/>
      <c r="D318" s="826"/>
      <c r="E318" s="836"/>
      <c r="F318" s="826"/>
      <c r="G318" s="826"/>
      <c r="H318" s="836"/>
      <c r="I318" s="826"/>
      <c r="J318" s="826"/>
      <c r="K318" s="826"/>
      <c r="L318" s="186" t="s">
        <v>29</v>
      </c>
      <c r="M318" s="164" t="s">
        <v>23</v>
      </c>
      <c r="N318" s="172">
        <v>36.314</v>
      </c>
      <c r="O318" s="394">
        <v>36.314</v>
      </c>
      <c r="P318" s="172">
        <f>160+168</f>
        <v>328</v>
      </c>
      <c r="Q318" s="172">
        <f>160+42</f>
        <v>202</v>
      </c>
      <c r="R318" s="172">
        <f>160+168</f>
        <v>328</v>
      </c>
    </row>
    <row r="319" spans="1:18" s="94" customFormat="1" ht="21" customHeight="1">
      <c r="A319" s="917"/>
      <c r="B319" s="944"/>
      <c r="C319" s="826"/>
      <c r="D319" s="826"/>
      <c r="E319" s="836"/>
      <c r="F319" s="826"/>
      <c r="G319" s="826"/>
      <c r="H319" s="836"/>
      <c r="I319" s="826"/>
      <c r="J319" s="826"/>
      <c r="K319" s="826"/>
      <c r="L319" s="186" t="s">
        <v>40</v>
      </c>
      <c r="M319" s="164" t="s">
        <v>29</v>
      </c>
      <c r="N319" s="172">
        <v>1079.7639999999999</v>
      </c>
      <c r="O319" s="394">
        <v>1079.7639999999999</v>
      </c>
      <c r="P319" s="172">
        <v>1375.2</v>
      </c>
      <c r="Q319" s="172">
        <v>1375.2</v>
      </c>
      <c r="R319" s="172">
        <v>1375.2</v>
      </c>
    </row>
    <row r="320" spans="1:18" s="94" customFormat="1" ht="21" customHeight="1">
      <c r="A320" s="917"/>
      <c r="B320" s="944"/>
      <c r="C320" s="826"/>
      <c r="D320" s="826"/>
      <c r="E320" s="836"/>
      <c r="F320" s="826"/>
      <c r="G320" s="826"/>
      <c r="H320" s="836"/>
      <c r="I320" s="826"/>
      <c r="J320" s="826"/>
      <c r="K320" s="826"/>
      <c r="L320" s="186" t="s">
        <v>40</v>
      </c>
      <c r="M320" s="164" t="s">
        <v>33</v>
      </c>
      <c r="N320" s="172">
        <v>1970.432</v>
      </c>
      <c r="O320" s="394">
        <v>1953.6120000000001</v>
      </c>
      <c r="P320" s="172">
        <v>3449.7</v>
      </c>
      <c r="Q320" s="172">
        <v>3449.7</v>
      </c>
      <c r="R320" s="172">
        <v>3439.92</v>
      </c>
    </row>
    <row r="321" spans="1:18" s="94" customFormat="1" ht="21" customHeight="1">
      <c r="A321" s="917"/>
      <c r="B321" s="944"/>
      <c r="C321" s="826"/>
      <c r="D321" s="826"/>
      <c r="E321" s="836"/>
      <c r="F321" s="826"/>
      <c r="G321" s="826"/>
      <c r="H321" s="836"/>
      <c r="I321" s="826"/>
      <c r="J321" s="826"/>
      <c r="K321" s="826"/>
      <c r="L321" s="186" t="s">
        <v>40</v>
      </c>
      <c r="M321" s="164" t="s">
        <v>38</v>
      </c>
      <c r="N321" s="172">
        <v>227.60499999999999</v>
      </c>
      <c r="O321" s="394">
        <v>227.60499999999999</v>
      </c>
      <c r="P321" s="172">
        <v>661.8</v>
      </c>
      <c r="Q321" s="172">
        <v>661.8</v>
      </c>
      <c r="R321" s="172">
        <v>661.8</v>
      </c>
    </row>
    <row r="322" spans="1:18" s="94" customFormat="1" ht="21.75" customHeight="1">
      <c r="A322" s="917"/>
      <c r="B322" s="944"/>
      <c r="C322" s="826"/>
      <c r="D322" s="826"/>
      <c r="E322" s="836"/>
      <c r="F322" s="826"/>
      <c r="G322" s="826"/>
      <c r="H322" s="836"/>
      <c r="I322" s="826"/>
      <c r="J322" s="826"/>
      <c r="K322" s="826"/>
      <c r="L322" s="186" t="s">
        <v>40</v>
      </c>
      <c r="M322" s="164" t="s">
        <v>35</v>
      </c>
      <c r="N322" s="172">
        <v>39.395000000000003</v>
      </c>
      <c r="O322" s="394">
        <v>39.395000000000003</v>
      </c>
      <c r="P322" s="172">
        <v>200</v>
      </c>
      <c r="Q322" s="172">
        <v>0</v>
      </c>
      <c r="R322" s="172">
        <v>0</v>
      </c>
    </row>
    <row r="323" spans="1:18" s="94" customFormat="1" ht="48" customHeight="1">
      <c r="A323" s="917"/>
      <c r="B323" s="944"/>
      <c r="C323" s="826"/>
      <c r="D323" s="826"/>
      <c r="E323" s="836"/>
      <c r="F323" s="826"/>
      <c r="G323" s="826"/>
      <c r="H323" s="836"/>
      <c r="I323" s="826" t="s">
        <v>677</v>
      </c>
      <c r="J323" s="826" t="s">
        <v>64</v>
      </c>
      <c r="K323" s="826" t="s">
        <v>106</v>
      </c>
      <c r="L323" s="186" t="s">
        <v>37</v>
      </c>
      <c r="M323" s="164" t="s">
        <v>29</v>
      </c>
      <c r="N323" s="172">
        <v>649.85699999999997</v>
      </c>
      <c r="O323" s="394">
        <v>617.74099999999999</v>
      </c>
      <c r="P323" s="172">
        <v>761.6</v>
      </c>
      <c r="Q323" s="172">
        <v>119.3</v>
      </c>
      <c r="R323" s="172">
        <v>119.3</v>
      </c>
    </row>
    <row r="324" spans="1:18" s="94" customFormat="1" ht="48" customHeight="1">
      <c r="A324" s="917"/>
      <c r="B324" s="944"/>
      <c r="C324" s="826"/>
      <c r="D324" s="826"/>
      <c r="E324" s="836"/>
      <c r="F324" s="826"/>
      <c r="G324" s="826"/>
      <c r="H324" s="836"/>
      <c r="I324" s="826"/>
      <c r="J324" s="826"/>
      <c r="K324" s="826"/>
      <c r="L324" s="61" t="s">
        <v>37</v>
      </c>
      <c r="M324" s="706" t="s">
        <v>34</v>
      </c>
      <c r="N324" s="15">
        <v>0</v>
      </c>
      <c r="O324" s="357">
        <v>0</v>
      </c>
      <c r="P324" s="15">
        <v>431.1</v>
      </c>
      <c r="Q324" s="15">
        <v>0</v>
      </c>
      <c r="R324" s="15">
        <v>0</v>
      </c>
    </row>
    <row r="325" spans="1:18" s="94" customFormat="1" ht="59.25" hidden="1" customHeight="1">
      <c r="A325" s="981"/>
      <c r="B325" s="980"/>
      <c r="C325" s="832"/>
      <c r="D325" s="832"/>
      <c r="E325" s="843"/>
      <c r="F325" s="832"/>
      <c r="G325" s="832"/>
      <c r="H325" s="843"/>
      <c r="I325" s="832"/>
      <c r="J325" s="832"/>
      <c r="K325" s="832"/>
      <c r="L325" s="113" t="s">
        <v>21</v>
      </c>
      <c r="M325" s="553" t="s">
        <v>29</v>
      </c>
      <c r="N325" s="87">
        <v>0</v>
      </c>
      <c r="O325" s="87">
        <v>0</v>
      </c>
      <c r="P325" s="87"/>
      <c r="Q325" s="87"/>
      <c r="R325" s="87"/>
    </row>
    <row r="326" spans="1:18" s="94" customFormat="1" ht="12">
      <c r="A326" s="916" t="s">
        <v>973</v>
      </c>
      <c r="B326" s="331">
        <v>1224</v>
      </c>
      <c r="C326" s="332"/>
      <c r="D326" s="332"/>
      <c r="E326" s="333"/>
      <c r="F326" s="332"/>
      <c r="G326" s="332"/>
      <c r="H326" s="333"/>
      <c r="I326" s="332"/>
      <c r="J326" s="332"/>
      <c r="K326" s="332"/>
      <c r="L326" s="334" t="s">
        <v>40</v>
      </c>
      <c r="M326" s="334" t="s">
        <v>33</v>
      </c>
      <c r="N326" s="330">
        <f>SUM(N327:N329)</f>
        <v>21934.6</v>
      </c>
      <c r="O326" s="330">
        <f t="shared" ref="O326:R326" si="40">SUM(O327:O329)</f>
        <v>21933.165000000001</v>
      </c>
      <c r="P326" s="330">
        <f t="shared" si="40"/>
        <v>23788</v>
      </c>
      <c r="Q326" s="330">
        <f t="shared" si="40"/>
        <v>22565</v>
      </c>
      <c r="R326" s="330">
        <f t="shared" si="40"/>
        <v>22881</v>
      </c>
    </row>
    <row r="327" spans="1:18" s="94" customFormat="1" ht="69" customHeight="1">
      <c r="A327" s="917"/>
      <c r="B327" s="503" t="s">
        <v>845</v>
      </c>
      <c r="C327" s="829"/>
      <c r="D327" s="829"/>
      <c r="E327" s="844"/>
      <c r="F327" s="829" t="s">
        <v>1085</v>
      </c>
      <c r="G327" s="829" t="s">
        <v>1109</v>
      </c>
      <c r="H327" s="844" t="s">
        <v>810</v>
      </c>
      <c r="I327" s="829" t="s">
        <v>1527</v>
      </c>
      <c r="J327" s="829" t="s">
        <v>64</v>
      </c>
      <c r="K327" s="829" t="s">
        <v>1447</v>
      </c>
      <c r="L327" s="410"/>
      <c r="M327" s="410"/>
      <c r="N327" s="272">
        <v>18219.54</v>
      </c>
      <c r="O327" s="397">
        <v>18219.54</v>
      </c>
      <c r="P327" s="272">
        <v>20695.560000000001</v>
      </c>
      <c r="Q327" s="272">
        <v>19631.55</v>
      </c>
      <c r="R327" s="272">
        <v>19906.47</v>
      </c>
    </row>
    <row r="328" spans="1:18" s="94" customFormat="1" ht="69" customHeight="1">
      <c r="A328" s="918"/>
      <c r="B328" s="413" t="s">
        <v>846</v>
      </c>
      <c r="C328" s="794"/>
      <c r="D328" s="794"/>
      <c r="E328" s="835"/>
      <c r="F328" s="794"/>
      <c r="G328" s="794"/>
      <c r="H328" s="835"/>
      <c r="I328" s="794"/>
      <c r="J328" s="794"/>
      <c r="K328" s="794"/>
      <c r="L328" s="413"/>
      <c r="M328" s="413"/>
      <c r="N328" s="272">
        <v>2722.46</v>
      </c>
      <c r="O328" s="397">
        <v>2722.46</v>
      </c>
      <c r="P328" s="272">
        <v>3092.44</v>
      </c>
      <c r="Q328" s="272">
        <v>2933.45</v>
      </c>
      <c r="R328" s="272">
        <v>2974.53</v>
      </c>
    </row>
    <row r="329" spans="1:18" s="94" customFormat="1" ht="78" customHeight="1">
      <c r="A329" s="917"/>
      <c r="B329" s="411" t="s">
        <v>877</v>
      </c>
      <c r="C329" s="826"/>
      <c r="D329" s="826"/>
      <c r="E329" s="836"/>
      <c r="F329" s="826"/>
      <c r="G329" s="826"/>
      <c r="H329" s="836"/>
      <c r="I329" s="826"/>
      <c r="J329" s="826"/>
      <c r="K329" s="826"/>
      <c r="L329" s="411"/>
      <c r="M329" s="411"/>
      <c r="N329" s="272">
        <v>992.6</v>
      </c>
      <c r="O329" s="397">
        <v>991.16499999999996</v>
      </c>
      <c r="P329" s="272">
        <v>0</v>
      </c>
      <c r="Q329" s="272">
        <v>0</v>
      </c>
      <c r="R329" s="272">
        <v>0</v>
      </c>
    </row>
    <row r="330" spans="1:18" s="95" customFormat="1" ht="63.75" customHeight="1">
      <c r="A330" s="28" t="s">
        <v>1316</v>
      </c>
      <c r="B330" s="747">
        <v>1226</v>
      </c>
      <c r="C330" s="691" t="s">
        <v>53</v>
      </c>
      <c r="D330" s="691" t="s">
        <v>336</v>
      </c>
      <c r="E330" s="560" t="s">
        <v>127</v>
      </c>
      <c r="F330" s="28" t="s">
        <v>28</v>
      </c>
      <c r="G330" s="28" t="s">
        <v>28</v>
      </c>
      <c r="H330" s="28" t="s">
        <v>28</v>
      </c>
      <c r="I330" s="543" t="s">
        <v>382</v>
      </c>
      <c r="J330" s="543" t="s">
        <v>64</v>
      </c>
      <c r="K330" s="543" t="s">
        <v>162</v>
      </c>
      <c r="L330" s="747" t="s">
        <v>29</v>
      </c>
      <c r="M330" s="747" t="s">
        <v>21</v>
      </c>
      <c r="N330" s="29">
        <v>3001.7710000000002</v>
      </c>
      <c r="O330" s="385">
        <v>0</v>
      </c>
      <c r="P330" s="29">
        <v>700</v>
      </c>
      <c r="Q330" s="29">
        <v>0</v>
      </c>
      <c r="R330" s="29">
        <v>0</v>
      </c>
    </row>
    <row r="331" spans="1:18" s="95" customFormat="1" ht="84">
      <c r="A331" s="296"/>
      <c r="B331" s="297"/>
      <c r="C331" s="739"/>
      <c r="D331" s="739"/>
      <c r="E331" s="542"/>
      <c r="F331" s="296"/>
      <c r="G331" s="296"/>
      <c r="H331" s="296"/>
      <c r="I331" s="544" t="s">
        <v>1016</v>
      </c>
      <c r="J331" s="544" t="s">
        <v>64</v>
      </c>
      <c r="K331" s="329" t="s">
        <v>162</v>
      </c>
      <c r="L331" s="297"/>
      <c r="M331" s="297"/>
      <c r="N331" s="312"/>
      <c r="O331" s="389"/>
      <c r="P331" s="312"/>
      <c r="Q331" s="312"/>
      <c r="R331" s="312"/>
    </row>
    <row r="332" spans="1:18" s="95" customFormat="1" ht="73.5" customHeight="1">
      <c r="A332" s="575" t="s">
        <v>1337</v>
      </c>
      <c r="B332" s="573">
        <v>1227</v>
      </c>
      <c r="C332" s="691" t="s">
        <v>53</v>
      </c>
      <c r="D332" s="691" t="s">
        <v>1338</v>
      </c>
      <c r="E332" s="560" t="s">
        <v>127</v>
      </c>
      <c r="F332" s="572"/>
      <c r="G332" s="572"/>
      <c r="H332" s="572"/>
      <c r="I332" s="664" t="s">
        <v>1149</v>
      </c>
      <c r="J332" s="664" t="s">
        <v>64</v>
      </c>
      <c r="K332" s="208" t="s">
        <v>57</v>
      </c>
      <c r="L332" s="31" t="s">
        <v>29</v>
      </c>
      <c r="M332" s="31" t="s">
        <v>23</v>
      </c>
      <c r="N332" s="574">
        <v>0</v>
      </c>
      <c r="O332" s="574">
        <v>0</v>
      </c>
      <c r="P332" s="574">
        <v>910</v>
      </c>
      <c r="Q332" s="574">
        <v>910</v>
      </c>
      <c r="R332" s="574">
        <v>910</v>
      </c>
    </row>
    <row r="333" spans="1:18" s="95" customFormat="1" ht="48">
      <c r="A333" s="30" t="s">
        <v>1317</v>
      </c>
      <c r="B333" s="31">
        <v>1228</v>
      </c>
      <c r="C333" s="18"/>
      <c r="D333" s="18"/>
      <c r="E333" s="18"/>
      <c r="F333" s="18"/>
      <c r="G333" s="18"/>
      <c r="H333" s="18"/>
      <c r="I333" s="18"/>
      <c r="J333" s="18"/>
      <c r="K333" s="18"/>
      <c r="L333" s="31" t="s">
        <v>29</v>
      </c>
      <c r="M333" s="31" t="s">
        <v>23</v>
      </c>
      <c r="N333" s="171">
        <f t="shared" ref="N333:R333" si="41">SUM(N335:N337)</f>
        <v>94.951999999999998</v>
      </c>
      <c r="O333" s="171">
        <f t="shared" si="41"/>
        <v>94.951999999999998</v>
      </c>
      <c r="P333" s="171">
        <f t="shared" si="41"/>
        <v>124.79300000000001</v>
      </c>
      <c r="Q333" s="171">
        <f t="shared" si="41"/>
        <v>130.54000000000002</v>
      </c>
      <c r="R333" s="171">
        <f t="shared" si="41"/>
        <v>136.28700000000001</v>
      </c>
    </row>
    <row r="334" spans="1:18" s="95" customFormat="1" ht="12">
      <c r="A334" s="30" t="s">
        <v>89</v>
      </c>
      <c r="B334" s="31"/>
      <c r="C334" s="18"/>
      <c r="D334" s="18"/>
      <c r="E334" s="18"/>
      <c r="F334" s="18"/>
      <c r="G334" s="18"/>
      <c r="H334" s="18"/>
      <c r="I334" s="18"/>
      <c r="J334" s="18"/>
      <c r="K334" s="18"/>
      <c r="L334" s="747"/>
      <c r="M334" s="747"/>
      <c r="N334" s="29"/>
      <c r="O334" s="396"/>
      <c r="P334" s="286"/>
      <c r="Q334" s="130"/>
      <c r="R334" s="130"/>
    </row>
    <row r="335" spans="1:18" s="95" customFormat="1" ht="36" customHeight="1">
      <c r="A335" s="28"/>
      <c r="B335" s="747"/>
      <c r="C335" s="691" t="s">
        <v>53</v>
      </c>
      <c r="D335" s="691" t="s">
        <v>175</v>
      </c>
      <c r="E335" s="691" t="s">
        <v>54</v>
      </c>
      <c r="F335" s="691"/>
      <c r="G335" s="691"/>
      <c r="H335" s="691"/>
      <c r="I335" s="691" t="s">
        <v>422</v>
      </c>
      <c r="J335" s="691" t="s">
        <v>176</v>
      </c>
      <c r="K335" s="691" t="s">
        <v>108</v>
      </c>
      <c r="L335" s="747"/>
      <c r="M335" s="747"/>
      <c r="N335" s="15">
        <v>91.951999999999998</v>
      </c>
      <c r="O335" s="357">
        <v>91.951999999999998</v>
      </c>
      <c r="P335" s="15">
        <v>109.79300000000001</v>
      </c>
      <c r="Q335" s="15">
        <v>115.54</v>
      </c>
      <c r="R335" s="15">
        <v>121.28700000000001</v>
      </c>
    </row>
    <row r="336" spans="1:18" s="95" customFormat="1" ht="39.75" hidden="1" customHeight="1">
      <c r="A336" s="45"/>
      <c r="B336" s="748"/>
      <c r="C336" s="692"/>
      <c r="D336" s="692"/>
      <c r="E336" s="692"/>
      <c r="F336" s="692"/>
      <c r="G336" s="692"/>
      <c r="H336" s="692"/>
      <c r="I336" s="692" t="s">
        <v>177</v>
      </c>
      <c r="J336" s="692" t="s">
        <v>178</v>
      </c>
      <c r="K336" s="692" t="s">
        <v>179</v>
      </c>
      <c r="L336" s="748"/>
      <c r="M336" s="748"/>
      <c r="N336" s="280">
        <v>0</v>
      </c>
      <c r="O336" s="366">
        <v>0</v>
      </c>
      <c r="P336" s="280">
        <v>0</v>
      </c>
      <c r="Q336" s="132">
        <v>0</v>
      </c>
      <c r="R336" s="132">
        <v>0</v>
      </c>
    </row>
    <row r="337" spans="1:18" s="95" customFormat="1" ht="47.25" customHeight="1">
      <c r="A337" s="45"/>
      <c r="B337" s="748"/>
      <c r="C337" s="692"/>
      <c r="D337" s="692"/>
      <c r="E337" s="692"/>
      <c r="F337" s="261"/>
      <c r="G337" s="66"/>
      <c r="H337" s="66"/>
      <c r="I337" s="692" t="s">
        <v>1015</v>
      </c>
      <c r="J337" s="692" t="s">
        <v>180</v>
      </c>
      <c r="K337" s="692" t="s">
        <v>181</v>
      </c>
      <c r="L337" s="748"/>
      <c r="M337" s="748"/>
      <c r="N337" s="43">
        <v>3</v>
      </c>
      <c r="O337" s="384">
        <v>3</v>
      </c>
      <c r="P337" s="43">
        <v>15</v>
      </c>
      <c r="Q337" s="43">
        <v>15</v>
      </c>
      <c r="R337" s="43">
        <v>15</v>
      </c>
    </row>
    <row r="338" spans="1:18" s="95" customFormat="1" ht="108">
      <c r="A338" s="28" t="s">
        <v>965</v>
      </c>
      <c r="B338" s="747">
        <v>1300</v>
      </c>
      <c r="C338" s="747" t="s">
        <v>26</v>
      </c>
      <c r="D338" s="747" t="s">
        <v>26</v>
      </c>
      <c r="E338" s="747" t="s">
        <v>26</v>
      </c>
      <c r="F338" s="747" t="s">
        <v>26</v>
      </c>
      <c r="G338" s="747" t="s">
        <v>26</v>
      </c>
      <c r="H338" s="747" t="s">
        <v>26</v>
      </c>
      <c r="I338" s="747" t="s">
        <v>26</v>
      </c>
      <c r="J338" s="747" t="s">
        <v>26</v>
      </c>
      <c r="K338" s="747" t="s">
        <v>26</v>
      </c>
      <c r="L338" s="747"/>
      <c r="M338" s="747"/>
      <c r="N338" s="29">
        <f>N339+N346+N359</f>
        <v>3840.5069999999996</v>
      </c>
      <c r="O338" s="29">
        <f t="shared" ref="O338:R338" si="42">O339+O346+O359</f>
        <v>3830.2069999999994</v>
      </c>
      <c r="P338" s="29">
        <f t="shared" si="42"/>
        <v>3418.366</v>
      </c>
      <c r="Q338" s="29">
        <f t="shared" si="42"/>
        <v>1793.3220000000001</v>
      </c>
      <c r="R338" s="29">
        <f t="shared" si="42"/>
        <v>1741.3220000000001</v>
      </c>
    </row>
    <row r="339" spans="1:18" s="95" customFormat="1" ht="72.75" customHeight="1">
      <c r="A339" s="28" t="s">
        <v>966</v>
      </c>
      <c r="B339" s="747">
        <v>1301</v>
      </c>
      <c r="C339" s="747" t="s">
        <v>26</v>
      </c>
      <c r="D339" s="747" t="s">
        <v>26</v>
      </c>
      <c r="E339" s="747" t="s">
        <v>26</v>
      </c>
      <c r="F339" s="747" t="s">
        <v>26</v>
      </c>
      <c r="G339" s="747" t="s">
        <v>26</v>
      </c>
      <c r="H339" s="747" t="s">
        <v>26</v>
      </c>
      <c r="I339" s="747" t="s">
        <v>26</v>
      </c>
      <c r="J339" s="747" t="s">
        <v>26</v>
      </c>
      <c r="K339" s="747" t="s">
        <v>26</v>
      </c>
      <c r="L339" s="747"/>
      <c r="M339" s="747"/>
      <c r="N339" s="29">
        <f t="shared" ref="N339:R339" si="43">N340</f>
        <v>155.22</v>
      </c>
      <c r="O339" s="29">
        <f t="shared" si="43"/>
        <v>155.22</v>
      </c>
      <c r="P339" s="29">
        <f t="shared" si="43"/>
        <v>112</v>
      </c>
      <c r="Q339" s="29">
        <f t="shared" si="43"/>
        <v>0</v>
      </c>
      <c r="R339" s="29">
        <f t="shared" si="43"/>
        <v>128</v>
      </c>
    </row>
    <row r="340" spans="1:18" s="95" customFormat="1" ht="23.25" customHeight="1">
      <c r="A340" s="30" t="s">
        <v>46</v>
      </c>
      <c r="B340" s="31">
        <v>1307</v>
      </c>
      <c r="C340" s="30" t="s">
        <v>28</v>
      </c>
      <c r="D340" s="30" t="s">
        <v>28</v>
      </c>
      <c r="E340" s="30" t="s">
        <v>28</v>
      </c>
      <c r="F340" s="30" t="s">
        <v>28</v>
      </c>
      <c r="G340" s="30" t="s">
        <v>28</v>
      </c>
      <c r="H340" s="30" t="s">
        <v>28</v>
      </c>
      <c r="I340" s="30" t="s">
        <v>28</v>
      </c>
      <c r="J340" s="30" t="s">
        <v>28</v>
      </c>
      <c r="K340" s="30" t="s">
        <v>28</v>
      </c>
      <c r="L340" s="31" t="s">
        <v>34</v>
      </c>
      <c r="M340" s="31" t="s">
        <v>22</v>
      </c>
      <c r="N340" s="171">
        <f t="shared" ref="N340:R340" si="44">SUM(N341:N345)</f>
        <v>155.22</v>
      </c>
      <c r="O340" s="171">
        <f t="shared" si="44"/>
        <v>155.22</v>
      </c>
      <c r="P340" s="171">
        <f t="shared" si="44"/>
        <v>112</v>
      </c>
      <c r="Q340" s="171">
        <f t="shared" si="44"/>
        <v>0</v>
      </c>
      <c r="R340" s="171">
        <f t="shared" si="44"/>
        <v>128</v>
      </c>
    </row>
    <row r="341" spans="1:18" s="94" customFormat="1" ht="48" customHeight="1">
      <c r="A341" s="35"/>
      <c r="B341" s="707"/>
      <c r="C341" s="828" t="s">
        <v>53</v>
      </c>
      <c r="D341" s="692" t="s">
        <v>339</v>
      </c>
      <c r="E341" s="690" t="s">
        <v>127</v>
      </c>
      <c r="F341" s="810" t="s">
        <v>903</v>
      </c>
      <c r="G341" s="681" t="s">
        <v>904</v>
      </c>
      <c r="H341" s="35" t="s">
        <v>810</v>
      </c>
      <c r="I341" s="737" t="s">
        <v>1270</v>
      </c>
      <c r="J341" s="737" t="s">
        <v>64</v>
      </c>
      <c r="K341" s="737" t="s">
        <v>379</v>
      </c>
      <c r="L341" s="681"/>
      <c r="M341" s="681"/>
      <c r="N341" s="43">
        <v>15.522</v>
      </c>
      <c r="O341" s="374">
        <v>15.522</v>
      </c>
      <c r="P341" s="97">
        <v>112</v>
      </c>
      <c r="Q341" s="97">
        <v>0</v>
      </c>
      <c r="R341" s="97">
        <v>128</v>
      </c>
    </row>
    <row r="342" spans="1:18" s="94" customFormat="1" ht="60">
      <c r="A342" s="35"/>
      <c r="B342" s="707"/>
      <c r="C342" s="794"/>
      <c r="D342" s="692"/>
      <c r="E342" s="690"/>
      <c r="F342" s="811"/>
      <c r="G342" s="35"/>
      <c r="H342" s="35"/>
      <c r="I342" s="737" t="s">
        <v>456</v>
      </c>
      <c r="J342" s="737" t="s">
        <v>64</v>
      </c>
      <c r="K342" s="737" t="s">
        <v>425</v>
      </c>
      <c r="L342" s="681"/>
      <c r="M342" s="681"/>
      <c r="N342" s="280"/>
      <c r="O342" s="398"/>
      <c r="P342" s="288"/>
      <c r="Q342" s="111"/>
      <c r="R342" s="111"/>
    </row>
    <row r="343" spans="1:18" s="94" customFormat="1" ht="48">
      <c r="A343" s="35"/>
      <c r="B343" s="707"/>
      <c r="C343" s="692"/>
      <c r="D343" s="692"/>
      <c r="E343" s="690"/>
      <c r="F343" s="35"/>
      <c r="G343" s="35"/>
      <c r="H343" s="35"/>
      <c r="I343" s="737" t="s">
        <v>83</v>
      </c>
      <c r="J343" s="737" t="s">
        <v>64</v>
      </c>
      <c r="K343" s="737" t="s">
        <v>67</v>
      </c>
      <c r="L343" s="681"/>
      <c r="M343" s="681"/>
      <c r="N343" s="280"/>
      <c r="O343" s="398"/>
      <c r="P343" s="288"/>
      <c r="Q343" s="111"/>
      <c r="R343" s="111"/>
    </row>
    <row r="344" spans="1:18" s="94" customFormat="1" ht="60.75" customHeight="1">
      <c r="A344" s="412"/>
      <c r="B344" s="413"/>
      <c r="C344" s="672"/>
      <c r="D344" s="672"/>
      <c r="E344" s="689"/>
      <c r="F344" s="412"/>
      <c r="G344" s="412"/>
      <c r="H344" s="412"/>
      <c r="I344" s="754" t="s">
        <v>1497</v>
      </c>
      <c r="J344" s="754" t="s">
        <v>64</v>
      </c>
      <c r="K344" s="754" t="s">
        <v>1035</v>
      </c>
      <c r="L344" s="736"/>
      <c r="M344" s="736"/>
      <c r="N344" s="366"/>
      <c r="O344" s="398"/>
      <c r="P344" s="398"/>
      <c r="Q344" s="398"/>
      <c r="R344" s="374"/>
    </row>
    <row r="345" spans="1:18" s="94" customFormat="1" ht="60" customHeight="1">
      <c r="A345" s="35"/>
      <c r="B345" s="707" t="s">
        <v>1217</v>
      </c>
      <c r="C345" s="35"/>
      <c r="D345" s="35"/>
      <c r="E345" s="35"/>
      <c r="F345" s="35"/>
      <c r="G345" s="35"/>
      <c r="H345" s="35"/>
      <c r="I345" s="737" t="s">
        <v>1224</v>
      </c>
      <c r="J345" s="737" t="s">
        <v>64</v>
      </c>
      <c r="K345" s="737" t="s">
        <v>1223</v>
      </c>
      <c r="L345" s="707" t="s">
        <v>34</v>
      </c>
      <c r="M345" s="707">
        <v>12</v>
      </c>
      <c r="N345" s="43">
        <v>139.69800000000001</v>
      </c>
      <c r="O345" s="374">
        <v>139.69800000000001</v>
      </c>
      <c r="P345" s="97">
        <v>0</v>
      </c>
      <c r="Q345" s="97">
        <v>0</v>
      </c>
      <c r="R345" s="97">
        <v>0</v>
      </c>
    </row>
    <row r="346" spans="1:18" s="95" customFormat="1" ht="84">
      <c r="A346" s="28" t="s">
        <v>543</v>
      </c>
      <c r="B346" s="747">
        <v>1500</v>
      </c>
      <c r="C346" s="747" t="s">
        <v>26</v>
      </c>
      <c r="D346" s="747" t="s">
        <v>26</v>
      </c>
      <c r="E346" s="747" t="s">
        <v>26</v>
      </c>
      <c r="F346" s="747" t="s">
        <v>26</v>
      </c>
      <c r="G346" s="747" t="s">
        <v>26</v>
      </c>
      <c r="H346" s="747" t="s">
        <v>26</v>
      </c>
      <c r="I346" s="747" t="s">
        <v>26</v>
      </c>
      <c r="J346" s="747" t="s">
        <v>26</v>
      </c>
      <c r="K346" s="747" t="s">
        <v>26</v>
      </c>
      <c r="L346" s="747"/>
      <c r="M346" s="747"/>
      <c r="N346" s="29">
        <f t="shared" ref="N346:R346" si="45">N347</f>
        <v>3477.665</v>
      </c>
      <c r="O346" s="29">
        <f t="shared" si="45"/>
        <v>3467.3649999999998</v>
      </c>
      <c r="P346" s="29">
        <f t="shared" si="45"/>
        <v>3084.7</v>
      </c>
      <c r="Q346" s="29">
        <f t="shared" si="45"/>
        <v>1585.7</v>
      </c>
      <c r="R346" s="29">
        <f t="shared" si="45"/>
        <v>1405.7</v>
      </c>
    </row>
    <row r="347" spans="1:18" s="95" customFormat="1" ht="36">
      <c r="A347" s="28" t="s">
        <v>544</v>
      </c>
      <c r="B347" s="747">
        <v>1503</v>
      </c>
      <c r="C347" s="28" t="s">
        <v>28</v>
      </c>
      <c r="D347" s="28" t="s">
        <v>28</v>
      </c>
      <c r="E347" s="28" t="s">
        <v>28</v>
      </c>
      <c r="F347" s="28" t="s">
        <v>28</v>
      </c>
      <c r="G347" s="28" t="s">
        <v>28</v>
      </c>
      <c r="H347" s="28" t="s">
        <v>28</v>
      </c>
      <c r="I347" s="28" t="s">
        <v>28</v>
      </c>
      <c r="J347" s="28" t="s">
        <v>28</v>
      </c>
      <c r="K347" s="28" t="s">
        <v>28</v>
      </c>
      <c r="L347" s="747"/>
      <c r="M347" s="747"/>
      <c r="N347" s="29">
        <f>SUM(N349:N358)</f>
        <v>3477.665</v>
      </c>
      <c r="O347" s="29">
        <f t="shared" ref="O347:R347" si="46">SUM(O349:O358)</f>
        <v>3467.3649999999998</v>
      </c>
      <c r="P347" s="29">
        <f t="shared" si="46"/>
        <v>3084.7</v>
      </c>
      <c r="Q347" s="29">
        <f t="shared" si="46"/>
        <v>1585.7</v>
      </c>
      <c r="R347" s="29">
        <f t="shared" si="46"/>
        <v>1405.7</v>
      </c>
    </row>
    <row r="348" spans="1:18" s="95" customFormat="1" ht="12">
      <c r="A348" s="28" t="s">
        <v>89</v>
      </c>
      <c r="B348" s="747"/>
      <c r="C348" s="28"/>
      <c r="D348" s="28"/>
      <c r="E348" s="28"/>
      <c r="F348" s="28"/>
      <c r="G348" s="28"/>
      <c r="H348" s="28"/>
      <c r="I348" s="28"/>
      <c r="J348" s="28"/>
      <c r="K348" s="28"/>
      <c r="L348" s="747"/>
      <c r="M348" s="747"/>
      <c r="N348" s="29"/>
      <c r="O348" s="396"/>
      <c r="P348" s="286"/>
      <c r="Q348" s="130"/>
      <c r="R348" s="130"/>
    </row>
    <row r="349" spans="1:18" s="95" customFormat="1" ht="169.5" customHeight="1">
      <c r="A349" s="42"/>
      <c r="B349" s="706"/>
      <c r="C349" s="691" t="s">
        <v>53</v>
      </c>
      <c r="D349" s="691" t="s">
        <v>337</v>
      </c>
      <c r="E349" s="560" t="s">
        <v>127</v>
      </c>
      <c r="F349" s="825" t="s">
        <v>1110</v>
      </c>
      <c r="G349" s="691" t="s">
        <v>81</v>
      </c>
      <c r="H349" s="560" t="s">
        <v>1111</v>
      </c>
      <c r="I349" s="209" t="s">
        <v>1463</v>
      </c>
      <c r="J349" s="110" t="s">
        <v>64</v>
      </c>
      <c r="K349" s="110" t="s">
        <v>1464</v>
      </c>
      <c r="L349" s="706" t="s">
        <v>20</v>
      </c>
      <c r="M349" s="706" t="s">
        <v>38</v>
      </c>
      <c r="N349" s="279">
        <v>700</v>
      </c>
      <c r="O349" s="365">
        <v>700</v>
      </c>
      <c r="P349" s="279">
        <v>600</v>
      </c>
      <c r="Q349" s="131">
        <v>700</v>
      </c>
      <c r="R349" s="131">
        <v>700</v>
      </c>
    </row>
    <row r="350" spans="1:18" s="95" customFormat="1" ht="324" customHeight="1">
      <c r="A350" s="35"/>
      <c r="B350" s="707" t="s">
        <v>163</v>
      </c>
      <c r="C350" s="66"/>
      <c r="D350" s="66"/>
      <c r="E350" s="66"/>
      <c r="F350" s="826"/>
      <c r="G350" s="66"/>
      <c r="H350" s="66"/>
      <c r="I350" s="207" t="s">
        <v>1548</v>
      </c>
      <c r="J350" s="727" t="s">
        <v>64</v>
      </c>
      <c r="K350" s="727" t="s">
        <v>426</v>
      </c>
      <c r="L350" s="706" t="s">
        <v>20</v>
      </c>
      <c r="M350" s="706" t="s">
        <v>38</v>
      </c>
      <c r="N350" s="280">
        <v>700</v>
      </c>
      <c r="O350" s="366">
        <v>700</v>
      </c>
      <c r="P350" s="280">
        <v>600</v>
      </c>
      <c r="Q350" s="132">
        <v>700</v>
      </c>
      <c r="R350" s="132">
        <v>700</v>
      </c>
    </row>
    <row r="351" spans="1:18" s="95" customFormat="1" ht="73.5" hidden="1" customHeight="1">
      <c r="A351" s="35"/>
      <c r="B351" s="707"/>
      <c r="C351" s="826" t="s">
        <v>467</v>
      </c>
      <c r="D351" s="826" t="s">
        <v>703</v>
      </c>
      <c r="E351" s="826" t="s">
        <v>468</v>
      </c>
      <c r="F351" s="826" t="s">
        <v>791</v>
      </c>
      <c r="G351" s="826" t="s">
        <v>792</v>
      </c>
      <c r="H351" s="826" t="s">
        <v>810</v>
      </c>
      <c r="I351" s="692" t="s">
        <v>841</v>
      </c>
      <c r="J351" s="692" t="s">
        <v>64</v>
      </c>
      <c r="K351" s="692" t="s">
        <v>383</v>
      </c>
      <c r="L351" s="706" t="s">
        <v>20</v>
      </c>
      <c r="M351" s="706" t="s">
        <v>38</v>
      </c>
      <c r="N351" s="43"/>
      <c r="O351" s="366"/>
      <c r="P351" s="280"/>
      <c r="Q351" s="132"/>
      <c r="R351" s="132"/>
    </row>
    <row r="352" spans="1:18" s="95" customFormat="1" ht="46.5" customHeight="1">
      <c r="A352" s="35"/>
      <c r="B352" s="707"/>
      <c r="C352" s="826"/>
      <c r="D352" s="826"/>
      <c r="E352" s="826"/>
      <c r="F352" s="826"/>
      <c r="G352" s="826"/>
      <c r="H352" s="826"/>
      <c r="I352" s="692" t="s">
        <v>83</v>
      </c>
      <c r="J352" s="692" t="s">
        <v>64</v>
      </c>
      <c r="K352" s="692" t="s">
        <v>67</v>
      </c>
      <c r="L352" s="706" t="s">
        <v>20</v>
      </c>
      <c r="M352" s="706" t="s">
        <v>38</v>
      </c>
      <c r="N352" s="43"/>
      <c r="O352" s="366"/>
      <c r="P352" s="280"/>
      <c r="Q352" s="132"/>
      <c r="R352" s="132"/>
    </row>
    <row r="353" spans="1:18" s="95" customFormat="1" ht="75" customHeight="1">
      <c r="A353" s="35"/>
      <c r="B353" s="707"/>
      <c r="C353" s="826"/>
      <c r="D353" s="66"/>
      <c r="E353" s="66"/>
      <c r="F353" s="692"/>
      <c r="G353" s="66"/>
      <c r="H353" s="66"/>
      <c r="I353" s="207" t="s">
        <v>164</v>
      </c>
      <c r="J353" s="727" t="s">
        <v>64</v>
      </c>
      <c r="K353" s="727" t="s">
        <v>98</v>
      </c>
      <c r="L353" s="706" t="s">
        <v>20</v>
      </c>
      <c r="M353" s="706" t="s">
        <v>38</v>
      </c>
      <c r="N353" s="43">
        <v>2051.9650000000001</v>
      </c>
      <c r="O353" s="384">
        <v>2041.665</v>
      </c>
      <c r="P353" s="43">
        <v>1699</v>
      </c>
      <c r="Q353" s="43">
        <v>0</v>
      </c>
      <c r="R353" s="43">
        <v>0</v>
      </c>
    </row>
    <row r="354" spans="1:18" s="95" customFormat="1" ht="62.25" customHeight="1">
      <c r="A354" s="412"/>
      <c r="B354" s="413"/>
      <c r="C354" s="672"/>
      <c r="D354" s="414"/>
      <c r="E354" s="414"/>
      <c r="F354" s="672"/>
      <c r="G354" s="414"/>
      <c r="H354" s="414"/>
      <c r="I354" s="415" t="s">
        <v>1496</v>
      </c>
      <c r="J354" s="416" t="s">
        <v>64</v>
      </c>
      <c r="K354" s="416" t="s">
        <v>1035</v>
      </c>
      <c r="L354" s="413"/>
      <c r="M354" s="413"/>
      <c r="N354" s="384"/>
      <c r="O354" s="384"/>
      <c r="P354" s="384"/>
      <c r="Q354" s="384"/>
      <c r="R354" s="384"/>
    </row>
    <row r="355" spans="1:18" s="95" customFormat="1" ht="73.5" customHeight="1">
      <c r="A355" s="35"/>
      <c r="B355" s="707"/>
      <c r="C355" s="66"/>
      <c r="D355" s="66"/>
      <c r="E355" s="66"/>
      <c r="F355" s="66"/>
      <c r="G355" s="66"/>
      <c r="H355" s="66"/>
      <c r="I355" s="207" t="s">
        <v>748</v>
      </c>
      <c r="J355" s="727" t="s">
        <v>64</v>
      </c>
      <c r="K355" s="727" t="s">
        <v>342</v>
      </c>
      <c r="L355" s="681"/>
      <c r="M355" s="681"/>
      <c r="N355" s="43"/>
      <c r="O355" s="384"/>
      <c r="P355" s="43"/>
      <c r="Q355" s="43"/>
      <c r="R355" s="43"/>
    </row>
    <row r="356" spans="1:18" s="95" customFormat="1" ht="119.25" customHeight="1">
      <c r="A356" s="35"/>
      <c r="B356" s="707"/>
      <c r="C356" s="66"/>
      <c r="D356" s="66"/>
      <c r="E356" s="66"/>
      <c r="F356" s="66"/>
      <c r="G356" s="66"/>
      <c r="H356" s="66"/>
      <c r="I356" s="207" t="s">
        <v>1271</v>
      </c>
      <c r="J356" s="727" t="s">
        <v>64</v>
      </c>
      <c r="K356" s="727" t="s">
        <v>732</v>
      </c>
      <c r="L356" s="707" t="s">
        <v>20</v>
      </c>
      <c r="M356" s="707" t="s">
        <v>38</v>
      </c>
      <c r="N356" s="43">
        <v>20</v>
      </c>
      <c r="O356" s="384">
        <v>20</v>
      </c>
      <c r="P356" s="43">
        <v>180</v>
      </c>
      <c r="Q356" s="43">
        <v>180</v>
      </c>
      <c r="R356" s="43">
        <v>0</v>
      </c>
    </row>
    <row r="357" spans="1:18" s="95" customFormat="1" ht="59.25" customHeight="1">
      <c r="A357" s="35"/>
      <c r="B357" s="707"/>
      <c r="C357" s="692" t="s">
        <v>53</v>
      </c>
      <c r="D357" s="692" t="s">
        <v>663</v>
      </c>
      <c r="E357" s="690" t="s">
        <v>127</v>
      </c>
      <c r="F357" s="66"/>
      <c r="G357" s="66"/>
      <c r="H357" s="66"/>
      <c r="I357" s="207" t="s">
        <v>160</v>
      </c>
      <c r="J357" s="727" t="s">
        <v>660</v>
      </c>
      <c r="K357" s="727" t="s">
        <v>57</v>
      </c>
      <c r="L357" s="707"/>
      <c r="M357" s="707"/>
      <c r="N357" s="43"/>
      <c r="O357" s="384"/>
      <c r="P357" s="43"/>
      <c r="Q357" s="43"/>
      <c r="R357" s="43"/>
    </row>
    <row r="358" spans="1:18" s="94" customFormat="1" ht="36" customHeight="1">
      <c r="A358" s="35"/>
      <c r="B358" s="707"/>
      <c r="C358" s="692"/>
      <c r="D358" s="638"/>
      <c r="E358" s="638"/>
      <c r="F358" s="692"/>
      <c r="G358" s="692"/>
      <c r="H358" s="690"/>
      <c r="I358" s="727" t="s">
        <v>1017</v>
      </c>
      <c r="J358" s="727" t="s">
        <v>64</v>
      </c>
      <c r="K358" s="727" t="s">
        <v>889</v>
      </c>
      <c r="L358" s="681">
        <v>10</v>
      </c>
      <c r="M358" s="707" t="s">
        <v>30</v>
      </c>
      <c r="N358" s="43">
        <v>5.7</v>
      </c>
      <c r="O358" s="388">
        <v>5.7</v>
      </c>
      <c r="P358" s="229">
        <v>5.7</v>
      </c>
      <c r="Q358" s="229">
        <v>5.7</v>
      </c>
      <c r="R358" s="229">
        <v>5.7</v>
      </c>
    </row>
    <row r="359" spans="1:18" s="95" customFormat="1" ht="96">
      <c r="A359" s="30" t="s">
        <v>545</v>
      </c>
      <c r="B359" s="137" t="s">
        <v>546</v>
      </c>
      <c r="C359" s="148"/>
      <c r="D359" s="148"/>
      <c r="E359" s="148"/>
      <c r="F359" s="148"/>
      <c r="G359" s="148"/>
      <c r="H359" s="148"/>
      <c r="I359" s="185"/>
      <c r="J359" s="177"/>
      <c r="K359" s="177"/>
      <c r="L359" s="31"/>
      <c r="M359" s="31"/>
      <c r="N359" s="171">
        <f>N360</f>
        <v>207.62200000000001</v>
      </c>
      <c r="O359" s="171">
        <f t="shared" ref="O359:R359" si="47">O360</f>
        <v>207.62200000000001</v>
      </c>
      <c r="P359" s="171">
        <f t="shared" si="47"/>
        <v>221.666</v>
      </c>
      <c r="Q359" s="171">
        <f t="shared" si="47"/>
        <v>207.62200000000001</v>
      </c>
      <c r="R359" s="171">
        <f t="shared" si="47"/>
        <v>207.62200000000001</v>
      </c>
    </row>
    <row r="360" spans="1:18" s="95" customFormat="1" ht="95.25" customHeight="1">
      <c r="A360" s="28" t="s">
        <v>547</v>
      </c>
      <c r="B360" s="747">
        <v>1604</v>
      </c>
      <c r="C360" s="210" t="s">
        <v>53</v>
      </c>
      <c r="D360" s="211" t="s">
        <v>336</v>
      </c>
      <c r="E360" s="212" t="s">
        <v>127</v>
      </c>
      <c r="F360" s="213" t="s">
        <v>182</v>
      </c>
      <c r="G360" s="214" t="s">
        <v>183</v>
      </c>
      <c r="H360" s="214" t="s">
        <v>184</v>
      </c>
      <c r="I360" s="214" t="s">
        <v>185</v>
      </c>
      <c r="J360" s="214" t="s">
        <v>133</v>
      </c>
      <c r="K360" s="215" t="s">
        <v>186</v>
      </c>
      <c r="L360" s="747" t="s">
        <v>29</v>
      </c>
      <c r="M360" s="747" t="s">
        <v>23</v>
      </c>
      <c r="N360" s="29">
        <v>207.62200000000001</v>
      </c>
      <c r="O360" s="385">
        <v>207.62200000000001</v>
      </c>
      <c r="P360" s="29">
        <v>221.666</v>
      </c>
      <c r="Q360" s="29">
        <v>207.62200000000001</v>
      </c>
      <c r="R360" s="29">
        <v>207.62200000000001</v>
      </c>
    </row>
    <row r="361" spans="1:18" s="95" customFormat="1" ht="132" customHeight="1">
      <c r="A361" s="28" t="s">
        <v>967</v>
      </c>
      <c r="B361" s="747">
        <v>1700</v>
      </c>
      <c r="C361" s="747" t="s">
        <v>26</v>
      </c>
      <c r="D361" s="747" t="s">
        <v>26</v>
      </c>
      <c r="E361" s="747" t="s">
        <v>26</v>
      </c>
      <c r="F361" s="747" t="s">
        <v>26</v>
      </c>
      <c r="G361" s="747" t="s">
        <v>26</v>
      </c>
      <c r="H361" s="747" t="s">
        <v>26</v>
      </c>
      <c r="I361" s="747" t="s">
        <v>26</v>
      </c>
      <c r="J361" s="747" t="s">
        <v>26</v>
      </c>
      <c r="K361" s="747" t="s">
        <v>26</v>
      </c>
      <c r="L361" s="747"/>
      <c r="M361" s="747"/>
      <c r="N361" s="29">
        <f>N362+N368</f>
        <v>88546.111000000004</v>
      </c>
      <c r="O361" s="29">
        <f>O362+O368</f>
        <v>79091.126000000004</v>
      </c>
      <c r="P361" s="29">
        <f>P362+P368</f>
        <v>69384.55</v>
      </c>
      <c r="Q361" s="29">
        <f>Q362+Q368</f>
        <v>79043.362000000008</v>
      </c>
      <c r="R361" s="29">
        <f>R362+R368</f>
        <v>79005.452000000019</v>
      </c>
    </row>
    <row r="362" spans="1:18" s="95" customFormat="1" ht="24.75" customHeight="1">
      <c r="A362" s="28" t="s">
        <v>548</v>
      </c>
      <c r="B362" s="747">
        <v>1701</v>
      </c>
      <c r="C362" s="747" t="s">
        <v>26</v>
      </c>
      <c r="D362" s="747" t="s">
        <v>26</v>
      </c>
      <c r="E362" s="747" t="s">
        <v>26</v>
      </c>
      <c r="F362" s="747" t="s">
        <v>26</v>
      </c>
      <c r="G362" s="747" t="s">
        <v>26</v>
      </c>
      <c r="H362" s="747" t="s">
        <v>26</v>
      </c>
      <c r="I362" s="747" t="s">
        <v>26</v>
      </c>
      <c r="J362" s="747" t="s">
        <v>26</v>
      </c>
      <c r="K362" s="747" t="s">
        <v>26</v>
      </c>
      <c r="L362" s="747"/>
      <c r="M362" s="747"/>
      <c r="N362" s="29">
        <f>N364</f>
        <v>120</v>
      </c>
      <c r="O362" s="29">
        <f t="shared" ref="O362:R362" si="48">O364</f>
        <v>120</v>
      </c>
      <c r="P362" s="29">
        <f t="shared" si="48"/>
        <v>3.9</v>
      </c>
      <c r="Q362" s="29">
        <f t="shared" si="48"/>
        <v>3.9</v>
      </c>
      <c r="R362" s="29">
        <f t="shared" si="48"/>
        <v>3.5</v>
      </c>
    </row>
    <row r="363" spans="1:18" s="95" customFormat="1" ht="12">
      <c r="A363" s="30" t="s">
        <v>89</v>
      </c>
      <c r="B363" s="31"/>
      <c r="C363" s="31"/>
      <c r="D363" s="31"/>
      <c r="E363" s="31"/>
      <c r="F363" s="31"/>
      <c r="G363" s="31"/>
      <c r="H363" s="31"/>
      <c r="I363" s="31"/>
      <c r="J363" s="31"/>
      <c r="K363" s="31"/>
      <c r="L363" s="709"/>
      <c r="M363" s="709"/>
      <c r="N363" s="29"/>
      <c r="O363" s="385"/>
      <c r="P363" s="29"/>
      <c r="Q363" s="29"/>
      <c r="R363" s="29"/>
    </row>
    <row r="364" spans="1:18" s="94" customFormat="1" ht="192">
      <c r="A364" s="589" t="s">
        <v>968</v>
      </c>
      <c r="B364" s="590" t="s">
        <v>549</v>
      </c>
      <c r="C364" s="591" t="s">
        <v>187</v>
      </c>
      <c r="D364" s="592" t="s">
        <v>188</v>
      </c>
      <c r="E364" s="593" t="s">
        <v>189</v>
      </c>
      <c r="F364" s="592" t="s">
        <v>190</v>
      </c>
      <c r="G364" s="592" t="s">
        <v>111</v>
      </c>
      <c r="H364" s="592" t="s">
        <v>60</v>
      </c>
      <c r="I364" s="592" t="s">
        <v>191</v>
      </c>
      <c r="J364" s="592" t="s">
        <v>81</v>
      </c>
      <c r="K364" s="594" t="s">
        <v>192</v>
      </c>
      <c r="L364" s="590" t="s">
        <v>29</v>
      </c>
      <c r="M364" s="590" t="s">
        <v>32</v>
      </c>
      <c r="N364" s="595">
        <v>120</v>
      </c>
      <c r="O364" s="595">
        <v>120</v>
      </c>
      <c r="P364" s="595">
        <v>3.9</v>
      </c>
      <c r="Q364" s="595">
        <v>3.9</v>
      </c>
      <c r="R364" s="595">
        <v>3.5</v>
      </c>
    </row>
    <row r="365" spans="1:18" s="94" customFormat="1" ht="156" hidden="1" customHeight="1">
      <c r="A365" s="460" t="s">
        <v>594</v>
      </c>
      <c r="B365" s="662" t="s">
        <v>885</v>
      </c>
      <c r="C365" s="758" t="s">
        <v>217</v>
      </c>
      <c r="D365" s="587" t="s">
        <v>166</v>
      </c>
      <c r="E365" s="587" t="s">
        <v>218</v>
      </c>
      <c r="F365" s="587" t="s">
        <v>219</v>
      </c>
      <c r="G365" s="587" t="s">
        <v>220</v>
      </c>
      <c r="H365" s="587" t="s">
        <v>196</v>
      </c>
      <c r="I365" s="587" t="s">
        <v>1272</v>
      </c>
      <c r="J365" s="588" t="s">
        <v>221</v>
      </c>
      <c r="K365" s="222" t="s">
        <v>222</v>
      </c>
      <c r="L365" s="662">
        <v>10</v>
      </c>
      <c r="M365" s="435" t="s">
        <v>34</v>
      </c>
      <c r="N365" s="369"/>
      <c r="O365" s="369"/>
      <c r="P365" s="369"/>
      <c r="Q365" s="369"/>
      <c r="R365" s="369"/>
    </row>
    <row r="366" spans="1:18" s="94" customFormat="1" ht="36" hidden="1">
      <c r="A366" s="491" t="s">
        <v>1216</v>
      </c>
      <c r="B366" s="678">
        <v>1722</v>
      </c>
      <c r="C366" s="712"/>
      <c r="D366" s="712"/>
      <c r="E366" s="712"/>
      <c r="F366" s="712"/>
      <c r="G366" s="712"/>
      <c r="H366" s="712"/>
      <c r="I366" s="712"/>
      <c r="J366" s="143"/>
      <c r="K366" s="143"/>
      <c r="L366" s="676" t="s">
        <v>33</v>
      </c>
      <c r="M366" s="676" t="s">
        <v>38</v>
      </c>
      <c r="N366" s="478"/>
      <c r="O366" s="478"/>
      <c r="P366" s="478"/>
      <c r="Q366" s="478"/>
      <c r="R366" s="478"/>
    </row>
    <row r="367" spans="1:18" s="94" customFormat="1" ht="119.25" hidden="1" customHeight="1">
      <c r="A367" s="83" t="s">
        <v>822</v>
      </c>
      <c r="B367" s="553" t="s">
        <v>823</v>
      </c>
      <c r="C367" s="712"/>
      <c r="D367" s="712"/>
      <c r="E367" s="712"/>
      <c r="F367" s="712" t="s">
        <v>897</v>
      </c>
      <c r="G367" s="712" t="s">
        <v>238</v>
      </c>
      <c r="H367" s="712" t="s">
        <v>898</v>
      </c>
      <c r="I367" s="712" t="s">
        <v>895</v>
      </c>
      <c r="J367" s="143" t="s">
        <v>64</v>
      </c>
      <c r="K367" s="143" t="s">
        <v>896</v>
      </c>
      <c r="L367" s="553" t="s">
        <v>29</v>
      </c>
      <c r="M367" s="553" t="s">
        <v>23</v>
      </c>
      <c r="N367" s="87"/>
      <c r="O367" s="87"/>
      <c r="P367" s="87"/>
      <c r="Q367" s="87"/>
      <c r="R367" s="87"/>
    </row>
    <row r="368" spans="1:18" s="95" customFormat="1" ht="36">
      <c r="A368" s="45" t="s">
        <v>550</v>
      </c>
      <c r="B368" s="748">
        <v>1800</v>
      </c>
      <c r="C368" s="187"/>
      <c r="D368" s="187"/>
      <c r="E368" s="188"/>
      <c r="F368" s="187"/>
      <c r="G368" s="187"/>
      <c r="H368" s="187"/>
      <c r="I368" s="187"/>
      <c r="J368" s="187"/>
      <c r="K368" s="187"/>
      <c r="L368" s="748"/>
      <c r="M368" s="748"/>
      <c r="N368" s="46">
        <f t="shared" ref="N368:R368" si="49">SUM(N370:N379)</f>
        <v>88426.111000000004</v>
      </c>
      <c r="O368" s="46">
        <f t="shared" si="49"/>
        <v>78971.126000000004</v>
      </c>
      <c r="P368" s="46">
        <f t="shared" si="49"/>
        <v>69380.650000000009</v>
      </c>
      <c r="Q368" s="46">
        <f t="shared" si="49"/>
        <v>79039.462000000014</v>
      </c>
      <c r="R368" s="46">
        <f t="shared" si="49"/>
        <v>79001.952000000019</v>
      </c>
    </row>
    <row r="369" spans="1:18" s="95" customFormat="1" ht="12">
      <c r="A369" s="30" t="s">
        <v>89</v>
      </c>
      <c r="B369" s="31"/>
      <c r="C369" s="31"/>
      <c r="D369" s="31"/>
      <c r="E369" s="31"/>
      <c r="F369" s="31"/>
      <c r="G369" s="31"/>
      <c r="H369" s="31"/>
      <c r="I369" s="31"/>
      <c r="J369" s="31"/>
      <c r="K369" s="31"/>
      <c r="L369" s="709"/>
      <c r="M369" s="709"/>
      <c r="N369" s="29"/>
      <c r="O369" s="385"/>
      <c r="P369" s="29"/>
      <c r="Q369" s="29"/>
      <c r="R369" s="29"/>
    </row>
    <row r="370" spans="1:18" s="96" customFormat="1" ht="12">
      <c r="A370" s="32"/>
      <c r="B370" s="33"/>
      <c r="C370" s="33"/>
      <c r="D370" s="33"/>
      <c r="E370" s="33"/>
      <c r="F370" s="33"/>
      <c r="G370" s="33"/>
      <c r="H370" s="33"/>
      <c r="I370" s="33"/>
      <c r="J370" s="33"/>
      <c r="K370" s="33"/>
      <c r="L370" s="68" t="s">
        <v>29</v>
      </c>
      <c r="M370" s="68" t="s">
        <v>34</v>
      </c>
      <c r="N370" s="51">
        <f t="shared" ref="N370" si="50">N381+N395</f>
        <v>13957.099999999999</v>
      </c>
      <c r="O370" s="51">
        <f t="shared" ref="O370:R370" si="51">O381+O395</f>
        <v>13623.879000000001</v>
      </c>
      <c r="P370" s="51">
        <f t="shared" si="51"/>
        <v>13517.2</v>
      </c>
      <c r="Q370" s="51">
        <f t="shared" si="51"/>
        <v>13517.2</v>
      </c>
      <c r="R370" s="51">
        <f t="shared" si="51"/>
        <v>13517.2</v>
      </c>
    </row>
    <row r="371" spans="1:18" s="96" customFormat="1" ht="12">
      <c r="A371" s="633"/>
      <c r="B371" s="634"/>
      <c r="C371" s="634"/>
      <c r="D371" s="634"/>
      <c r="E371" s="634"/>
      <c r="F371" s="634"/>
      <c r="G371" s="634"/>
      <c r="H371" s="634"/>
      <c r="I371" s="634"/>
      <c r="J371" s="634"/>
      <c r="K371" s="634"/>
      <c r="L371" s="635" t="s">
        <v>29</v>
      </c>
      <c r="M371" s="635" t="s">
        <v>23</v>
      </c>
      <c r="N371" s="636">
        <f>N407</f>
        <v>0</v>
      </c>
      <c r="O371" s="636">
        <f t="shared" ref="O371:R371" si="52">O407</f>
        <v>0</v>
      </c>
      <c r="P371" s="636">
        <f t="shared" si="52"/>
        <v>1093.5999999999999</v>
      </c>
      <c r="Q371" s="636">
        <f t="shared" si="52"/>
        <v>1093.5999999999999</v>
      </c>
      <c r="R371" s="636">
        <f t="shared" si="52"/>
        <v>1093.5999999999999</v>
      </c>
    </row>
    <row r="372" spans="1:18" s="96" customFormat="1" ht="12">
      <c r="A372" s="32"/>
      <c r="B372" s="33"/>
      <c r="C372" s="33"/>
      <c r="D372" s="33"/>
      <c r="E372" s="33"/>
      <c r="F372" s="33"/>
      <c r="G372" s="33"/>
      <c r="H372" s="33"/>
      <c r="I372" s="33"/>
      <c r="J372" s="33"/>
      <c r="K372" s="33"/>
      <c r="L372" s="68" t="s">
        <v>34</v>
      </c>
      <c r="M372" s="68" t="s">
        <v>29</v>
      </c>
      <c r="N372" s="51">
        <f t="shared" ref="N372" si="53">N388+N402</f>
        <v>222.39999999999998</v>
      </c>
      <c r="O372" s="51">
        <f t="shared" ref="O372:R372" si="54">O388+O402</f>
        <v>221.78300000000002</v>
      </c>
      <c r="P372" s="51">
        <f t="shared" si="54"/>
        <v>231.3</v>
      </c>
      <c r="Q372" s="51">
        <f t="shared" si="54"/>
        <v>231.3</v>
      </c>
      <c r="R372" s="51">
        <f t="shared" si="54"/>
        <v>231.3</v>
      </c>
    </row>
    <row r="373" spans="1:18" s="96" customFormat="1" ht="12">
      <c r="A373" s="32"/>
      <c r="B373" s="33"/>
      <c r="C373" s="33"/>
      <c r="D373" s="33"/>
      <c r="E373" s="33"/>
      <c r="F373" s="33"/>
      <c r="G373" s="33"/>
      <c r="H373" s="33"/>
      <c r="I373" s="33"/>
      <c r="J373" s="33"/>
      <c r="K373" s="33"/>
      <c r="L373" s="68" t="s">
        <v>34</v>
      </c>
      <c r="M373" s="68" t="s">
        <v>32</v>
      </c>
      <c r="N373" s="51">
        <f>N389+N403+N408+N410+N418</f>
        <v>13026.011</v>
      </c>
      <c r="O373" s="51">
        <f>O389+O403+O408+O410+O418</f>
        <v>12761.049000000001</v>
      </c>
      <c r="P373" s="51">
        <f>P389+P403+P408+P410+P418</f>
        <v>13261.862000000001</v>
      </c>
      <c r="Q373" s="51">
        <f>Q389+Q403+Q408+Q410+Q418</f>
        <v>13261.862000000001</v>
      </c>
      <c r="R373" s="51">
        <f>R389+R403+R408+R410+R418</f>
        <v>13236.452000000001</v>
      </c>
    </row>
    <row r="374" spans="1:18" s="96" customFormat="1" ht="12">
      <c r="A374" s="32"/>
      <c r="B374" s="33"/>
      <c r="C374" s="33"/>
      <c r="D374" s="33"/>
      <c r="E374" s="33"/>
      <c r="F374" s="33"/>
      <c r="G374" s="33"/>
      <c r="H374" s="33"/>
      <c r="I374" s="33"/>
      <c r="J374" s="33"/>
      <c r="K374" s="33"/>
      <c r="L374" s="68" t="s">
        <v>40</v>
      </c>
      <c r="M374" s="68" t="s">
        <v>29</v>
      </c>
      <c r="N374" s="51">
        <f>N411+N419+N420</f>
        <v>1300.7730000000001</v>
      </c>
      <c r="O374" s="51">
        <f t="shared" ref="O374:R374" si="55">O411+O419+O420</f>
        <v>1300.7730000000001</v>
      </c>
      <c r="P374" s="51">
        <f t="shared" si="55"/>
        <v>796.928</v>
      </c>
      <c r="Q374" s="51">
        <f t="shared" si="55"/>
        <v>796.928</v>
      </c>
      <c r="R374" s="51">
        <f t="shared" si="55"/>
        <v>796.928</v>
      </c>
    </row>
    <row r="375" spans="1:18" s="96" customFormat="1" ht="12">
      <c r="A375" s="32"/>
      <c r="B375" s="33"/>
      <c r="C375" s="33"/>
      <c r="D375" s="33"/>
      <c r="E375" s="33"/>
      <c r="F375" s="33"/>
      <c r="G375" s="33"/>
      <c r="H375" s="33"/>
      <c r="I375" s="33"/>
      <c r="J375" s="33"/>
      <c r="K375" s="33"/>
      <c r="L375" s="68" t="s">
        <v>40</v>
      </c>
      <c r="M375" s="68" t="s">
        <v>33</v>
      </c>
      <c r="N375" s="51">
        <f>N412+N416+N421</f>
        <v>21605.010999999999</v>
      </c>
      <c r="O375" s="51">
        <f>O412+O416+O421</f>
        <v>17818.691999999999</v>
      </c>
      <c r="P375" s="51">
        <f>P412+P416+P421</f>
        <v>2258.0240000000003</v>
      </c>
      <c r="Q375" s="51">
        <f>Q412+Q416+Q421</f>
        <v>2258.0240000000003</v>
      </c>
      <c r="R375" s="51">
        <f>R412+R416+R421</f>
        <v>2258.0240000000003</v>
      </c>
    </row>
    <row r="376" spans="1:18" s="96" customFormat="1" ht="12">
      <c r="A376" s="32"/>
      <c r="B376" s="33"/>
      <c r="C376" s="33"/>
      <c r="D376" s="33"/>
      <c r="E376" s="33"/>
      <c r="F376" s="33"/>
      <c r="G376" s="33"/>
      <c r="H376" s="33"/>
      <c r="I376" s="33"/>
      <c r="J376" s="33"/>
      <c r="K376" s="33"/>
      <c r="L376" s="68" t="s">
        <v>40</v>
      </c>
      <c r="M376" s="68" t="s">
        <v>38</v>
      </c>
      <c r="N376" s="51">
        <f t="shared" ref="N376" si="56">N413</f>
        <v>26.04</v>
      </c>
      <c r="O376" s="51">
        <f t="shared" ref="O376:R376" si="57">O413</f>
        <v>26.04</v>
      </c>
      <c r="P376" s="51">
        <f t="shared" si="57"/>
        <v>31.248000000000001</v>
      </c>
      <c r="Q376" s="51">
        <f t="shared" si="57"/>
        <v>31.248000000000001</v>
      </c>
      <c r="R376" s="51">
        <f t="shared" si="57"/>
        <v>31.248000000000001</v>
      </c>
    </row>
    <row r="377" spans="1:18" s="96" customFormat="1" ht="12">
      <c r="A377" s="32"/>
      <c r="B377" s="33"/>
      <c r="C377" s="33"/>
      <c r="D377" s="33"/>
      <c r="E377" s="33"/>
      <c r="F377" s="33"/>
      <c r="G377" s="33"/>
      <c r="H377" s="33"/>
      <c r="I377" s="33"/>
      <c r="J377" s="33"/>
      <c r="K377" s="33"/>
      <c r="L377" s="68" t="s">
        <v>40</v>
      </c>
      <c r="M377" s="68" t="s">
        <v>32</v>
      </c>
      <c r="N377" s="51">
        <f>N405</f>
        <v>40</v>
      </c>
      <c r="O377" s="51">
        <f t="shared" ref="O377:R377" si="58">O405</f>
        <v>0</v>
      </c>
      <c r="P377" s="51">
        <f t="shared" si="58"/>
        <v>40</v>
      </c>
      <c r="Q377" s="51">
        <f t="shared" si="58"/>
        <v>40</v>
      </c>
      <c r="R377" s="51">
        <f t="shared" si="58"/>
        <v>40</v>
      </c>
    </row>
    <row r="378" spans="1:18" s="96" customFormat="1" ht="12">
      <c r="A378" s="32"/>
      <c r="B378" s="33"/>
      <c r="C378" s="33"/>
      <c r="D378" s="33"/>
      <c r="E378" s="33"/>
      <c r="F378" s="33"/>
      <c r="G378" s="33"/>
      <c r="H378" s="33"/>
      <c r="I378" s="33"/>
      <c r="J378" s="33"/>
      <c r="K378" s="33"/>
      <c r="L378" s="68" t="s">
        <v>20</v>
      </c>
      <c r="M378" s="68" t="s">
        <v>34</v>
      </c>
      <c r="N378" s="51">
        <f t="shared" ref="N378:O378" si="59">N417+N415</f>
        <v>38227.275999999998</v>
      </c>
      <c r="O378" s="51">
        <f t="shared" si="59"/>
        <v>33197.745999999999</v>
      </c>
      <c r="P378" s="51">
        <f>P417+P415</f>
        <v>38127.888000000006</v>
      </c>
      <c r="Q378" s="51">
        <f t="shared" ref="Q378:R378" si="60">Q417+Q415</f>
        <v>47786.700000000004</v>
      </c>
      <c r="R378" s="51">
        <f t="shared" si="60"/>
        <v>47774.600000000006</v>
      </c>
    </row>
    <row r="379" spans="1:18" s="96" customFormat="1" ht="12">
      <c r="A379" s="32"/>
      <c r="B379" s="33"/>
      <c r="C379" s="33"/>
      <c r="D379" s="33"/>
      <c r="E379" s="33"/>
      <c r="F379" s="33"/>
      <c r="G379" s="33"/>
      <c r="H379" s="33"/>
      <c r="I379" s="33"/>
      <c r="J379" s="33"/>
      <c r="K379" s="33"/>
      <c r="L379" s="68" t="s">
        <v>20</v>
      </c>
      <c r="M379" s="68" t="s">
        <v>30</v>
      </c>
      <c r="N379" s="51">
        <f>N392+N406</f>
        <v>21.5</v>
      </c>
      <c r="O379" s="51">
        <f t="shared" ref="O379:R379" si="61">O392+O406</f>
        <v>21.163999999999998</v>
      </c>
      <c r="P379" s="51">
        <f t="shared" si="61"/>
        <v>22.6</v>
      </c>
      <c r="Q379" s="51">
        <f t="shared" si="61"/>
        <v>22.6</v>
      </c>
      <c r="R379" s="51">
        <f t="shared" si="61"/>
        <v>22.6</v>
      </c>
    </row>
    <row r="380" spans="1:18" s="94" customFormat="1" ht="14.25" customHeight="1">
      <c r="A380" s="961" t="s">
        <v>1161</v>
      </c>
      <c r="B380" s="663">
        <v>1801</v>
      </c>
      <c r="C380" s="712"/>
      <c r="D380" s="712"/>
      <c r="E380" s="143"/>
      <c r="F380" s="712"/>
      <c r="G380" s="712"/>
      <c r="H380" s="712"/>
      <c r="I380" s="712"/>
      <c r="J380" s="712"/>
      <c r="K380" s="712"/>
      <c r="L380" s="663"/>
      <c r="M380" s="663"/>
      <c r="N380" s="87">
        <f t="shared" ref="N380:R380" si="62">SUM(N381:N393)</f>
        <v>11360.177</v>
      </c>
      <c r="O380" s="87">
        <f t="shared" si="62"/>
        <v>11208.549000000001</v>
      </c>
      <c r="P380" s="87">
        <f t="shared" si="62"/>
        <v>11152.029</v>
      </c>
      <c r="Q380" s="87">
        <f t="shared" si="62"/>
        <v>11152.029</v>
      </c>
      <c r="R380" s="87">
        <f t="shared" si="62"/>
        <v>11152.029</v>
      </c>
    </row>
    <row r="381" spans="1:18" s="154" customFormat="1" ht="132.75" customHeight="1">
      <c r="A381" s="962"/>
      <c r="B381" s="707" t="s">
        <v>596</v>
      </c>
      <c r="C381" s="697" t="s">
        <v>193</v>
      </c>
      <c r="D381" s="697" t="s">
        <v>678</v>
      </c>
      <c r="E381" s="697" t="s">
        <v>194</v>
      </c>
      <c r="F381" s="697" t="s">
        <v>195</v>
      </c>
      <c r="G381" s="697" t="s">
        <v>679</v>
      </c>
      <c r="H381" s="697" t="s">
        <v>196</v>
      </c>
      <c r="I381" s="697" t="s">
        <v>861</v>
      </c>
      <c r="J381" s="765" t="s">
        <v>197</v>
      </c>
      <c r="K381" s="765" t="s">
        <v>198</v>
      </c>
      <c r="L381" s="152" t="s">
        <v>29</v>
      </c>
      <c r="M381" s="152" t="s">
        <v>34</v>
      </c>
      <c r="N381" s="153">
        <v>9780.4089999999997</v>
      </c>
      <c r="O381" s="153">
        <v>9629.2530000000006</v>
      </c>
      <c r="P381" s="153">
        <v>9439.2890000000007</v>
      </c>
      <c r="Q381" s="153">
        <v>9439.2890000000007</v>
      </c>
      <c r="R381" s="153">
        <v>9439.2890000000007</v>
      </c>
    </row>
    <row r="382" spans="1:18" s="154" customFormat="1" ht="108.75" customHeight="1">
      <c r="A382" s="962"/>
      <c r="B382" s="550" t="s">
        <v>597</v>
      </c>
      <c r="C382" s="694" t="s">
        <v>234</v>
      </c>
      <c r="D382" s="694" t="s">
        <v>235</v>
      </c>
      <c r="E382" s="694" t="s">
        <v>236</v>
      </c>
      <c r="F382" s="694" t="s">
        <v>237</v>
      </c>
      <c r="G382" s="694" t="s">
        <v>238</v>
      </c>
      <c r="H382" s="764" t="s">
        <v>231</v>
      </c>
      <c r="I382" s="712" t="s">
        <v>239</v>
      </c>
      <c r="J382" s="712" t="s">
        <v>81</v>
      </c>
      <c r="K382" s="694" t="s">
        <v>240</v>
      </c>
      <c r="L382" s="152"/>
      <c r="M382" s="152"/>
      <c r="N382" s="153"/>
      <c r="O382" s="153"/>
      <c r="P382" s="153"/>
      <c r="Q382" s="153"/>
      <c r="R382" s="153"/>
    </row>
    <row r="383" spans="1:18" s="154" customFormat="1" ht="120">
      <c r="A383" s="962"/>
      <c r="B383" s="155"/>
      <c r="C383" s="694" t="s">
        <v>241</v>
      </c>
      <c r="D383" s="694" t="s">
        <v>242</v>
      </c>
      <c r="E383" s="694" t="s">
        <v>243</v>
      </c>
      <c r="F383" s="694" t="s">
        <v>244</v>
      </c>
      <c r="G383" s="694" t="s">
        <v>245</v>
      </c>
      <c r="H383" s="694" t="s">
        <v>246</v>
      </c>
      <c r="I383" s="712" t="s">
        <v>247</v>
      </c>
      <c r="J383" s="712" t="s">
        <v>81</v>
      </c>
      <c r="K383" s="712" t="s">
        <v>248</v>
      </c>
      <c r="L383" s="152"/>
      <c r="M383" s="152"/>
      <c r="N383" s="153"/>
      <c r="O383" s="153"/>
      <c r="P383" s="153"/>
      <c r="Q383" s="153"/>
      <c r="R383" s="153"/>
    </row>
    <row r="384" spans="1:18" s="154" customFormat="1" ht="131.25" customHeight="1">
      <c r="A384" s="197"/>
      <c r="B384" s="553" t="s">
        <v>598</v>
      </c>
      <c r="C384" s="694" t="s">
        <v>170</v>
      </c>
      <c r="D384" s="694" t="s">
        <v>211</v>
      </c>
      <c r="E384" s="694" t="s">
        <v>249</v>
      </c>
      <c r="F384" s="694" t="s">
        <v>250</v>
      </c>
      <c r="G384" s="694" t="s">
        <v>797</v>
      </c>
      <c r="H384" s="694" t="s">
        <v>251</v>
      </c>
      <c r="I384" s="694" t="s">
        <v>1491</v>
      </c>
      <c r="J384" s="694" t="s">
        <v>81</v>
      </c>
      <c r="K384" s="694" t="s">
        <v>252</v>
      </c>
      <c r="L384" s="152"/>
      <c r="M384" s="152"/>
      <c r="N384" s="153"/>
      <c r="O384" s="153"/>
      <c r="P384" s="153"/>
      <c r="Q384" s="153"/>
      <c r="R384" s="153"/>
    </row>
    <row r="385" spans="1:18" s="154" customFormat="1" ht="155.25" customHeight="1">
      <c r="A385" s="197"/>
      <c r="B385" s="553" t="s">
        <v>599</v>
      </c>
      <c r="C385" s="680" t="s">
        <v>392</v>
      </c>
      <c r="D385" s="42" t="s">
        <v>393</v>
      </c>
      <c r="E385" s="680" t="s">
        <v>394</v>
      </c>
      <c r="F385" s="694" t="s">
        <v>253</v>
      </c>
      <c r="G385" s="694" t="s">
        <v>254</v>
      </c>
      <c r="H385" s="764" t="s">
        <v>231</v>
      </c>
      <c r="I385" s="694" t="s">
        <v>255</v>
      </c>
      <c r="J385" s="764" t="s">
        <v>81</v>
      </c>
      <c r="K385" s="764" t="s">
        <v>256</v>
      </c>
      <c r="L385" s="152"/>
      <c r="M385" s="152"/>
      <c r="N385" s="153"/>
      <c r="O385" s="153"/>
      <c r="P385" s="153"/>
      <c r="Q385" s="153"/>
      <c r="R385" s="153"/>
    </row>
    <row r="386" spans="1:18" s="154" customFormat="1" ht="216.75" customHeight="1">
      <c r="A386" s="197"/>
      <c r="B386" s="553" t="s">
        <v>600</v>
      </c>
      <c r="C386" s="694" t="s">
        <v>868</v>
      </c>
      <c r="D386" s="694" t="s">
        <v>869</v>
      </c>
      <c r="E386" s="694" t="s">
        <v>871</v>
      </c>
      <c r="F386" s="712" t="s">
        <v>267</v>
      </c>
      <c r="G386" s="712" t="s">
        <v>268</v>
      </c>
      <c r="H386" s="143" t="s">
        <v>269</v>
      </c>
      <c r="I386" s="712" t="s">
        <v>705</v>
      </c>
      <c r="J386" s="143" t="s">
        <v>270</v>
      </c>
      <c r="K386" s="144" t="s">
        <v>271</v>
      </c>
      <c r="L386" s="152"/>
      <c r="M386" s="152"/>
      <c r="N386" s="153"/>
      <c r="O386" s="153"/>
      <c r="P386" s="153"/>
      <c r="Q386" s="153"/>
      <c r="R386" s="153"/>
    </row>
    <row r="387" spans="1:18" s="154" customFormat="1" ht="180.75" customHeight="1">
      <c r="A387" s="197"/>
      <c r="B387" s="553" t="s">
        <v>601</v>
      </c>
      <c r="C387" s="694" t="s">
        <v>276</v>
      </c>
      <c r="D387" s="694" t="s">
        <v>277</v>
      </c>
      <c r="E387" s="764" t="s">
        <v>278</v>
      </c>
      <c r="F387" s="694" t="s">
        <v>279</v>
      </c>
      <c r="G387" s="694" t="s">
        <v>225</v>
      </c>
      <c r="H387" s="694" t="s">
        <v>280</v>
      </c>
      <c r="I387" s="694" t="s">
        <v>801</v>
      </c>
      <c r="J387" s="733" t="s">
        <v>200</v>
      </c>
      <c r="K387" s="733" t="s">
        <v>281</v>
      </c>
      <c r="L387" s="152"/>
      <c r="M387" s="152"/>
      <c r="N387" s="153"/>
      <c r="O387" s="153"/>
      <c r="P387" s="153"/>
      <c r="Q387" s="153"/>
      <c r="R387" s="153"/>
    </row>
    <row r="388" spans="1:18" s="154" customFormat="1" ht="120.75" customHeight="1">
      <c r="A388" s="197"/>
      <c r="B388" s="553" t="s">
        <v>602</v>
      </c>
      <c r="C388" s="213" t="s">
        <v>800</v>
      </c>
      <c r="D388" s="214" t="s">
        <v>798</v>
      </c>
      <c r="E388" s="214" t="s">
        <v>799</v>
      </c>
      <c r="F388" s="214" t="s">
        <v>257</v>
      </c>
      <c r="G388" s="214" t="s">
        <v>225</v>
      </c>
      <c r="H388" s="214" t="s">
        <v>226</v>
      </c>
      <c r="I388" s="220" t="s">
        <v>258</v>
      </c>
      <c r="J388" s="220" t="s">
        <v>64</v>
      </c>
      <c r="K388" s="221" t="s">
        <v>259</v>
      </c>
      <c r="L388" s="152" t="s">
        <v>34</v>
      </c>
      <c r="M388" s="152" t="s">
        <v>29</v>
      </c>
      <c r="N388" s="153">
        <v>169.12299999999999</v>
      </c>
      <c r="O388" s="153">
        <v>168.65100000000001</v>
      </c>
      <c r="P388" s="153">
        <v>175.8</v>
      </c>
      <c r="Q388" s="153">
        <v>175.8</v>
      </c>
      <c r="R388" s="153">
        <v>175.8</v>
      </c>
    </row>
    <row r="389" spans="1:18" s="154" customFormat="1" ht="108" customHeight="1">
      <c r="A389" s="197"/>
      <c r="B389" s="152"/>
      <c r="C389" s="218" t="s">
        <v>387</v>
      </c>
      <c r="D389" s="218" t="s">
        <v>388</v>
      </c>
      <c r="E389" s="218" t="s">
        <v>389</v>
      </c>
      <c r="F389" s="218" t="s">
        <v>390</v>
      </c>
      <c r="G389" s="218" t="s">
        <v>391</v>
      </c>
      <c r="H389" s="218" t="s">
        <v>57</v>
      </c>
      <c r="I389" s="218" t="s">
        <v>1273</v>
      </c>
      <c r="J389" s="219" t="s">
        <v>66</v>
      </c>
      <c r="K389" s="219" t="s">
        <v>381</v>
      </c>
      <c r="L389" s="152" t="s">
        <v>34</v>
      </c>
      <c r="M389" s="152" t="s">
        <v>32</v>
      </c>
      <c r="N389" s="153">
        <v>1395.557</v>
      </c>
      <c r="O389" s="153">
        <v>1395.557</v>
      </c>
      <c r="P389" s="153">
        <v>1521.16</v>
      </c>
      <c r="Q389" s="153">
        <v>1521.16</v>
      </c>
      <c r="R389" s="153">
        <v>1521.16</v>
      </c>
    </row>
    <row r="390" spans="1:18" s="154" customFormat="1" ht="97.5" customHeight="1">
      <c r="A390" s="197"/>
      <c r="B390" s="152"/>
      <c r="C390" s="691" t="s">
        <v>260</v>
      </c>
      <c r="D390" s="691" t="s">
        <v>261</v>
      </c>
      <c r="E390" s="560" t="s">
        <v>262</v>
      </c>
      <c r="F390" s="691" t="s">
        <v>263</v>
      </c>
      <c r="G390" s="691" t="s">
        <v>238</v>
      </c>
      <c r="H390" s="691" t="s">
        <v>664</v>
      </c>
      <c r="I390" s="691" t="s">
        <v>665</v>
      </c>
      <c r="J390" s="560" t="s">
        <v>81</v>
      </c>
      <c r="K390" s="560" t="s">
        <v>266</v>
      </c>
      <c r="L390" s="152"/>
      <c r="M390" s="152"/>
      <c r="N390" s="153"/>
      <c r="O390" s="153"/>
      <c r="P390" s="153"/>
      <c r="Q390" s="153"/>
      <c r="R390" s="153"/>
    </row>
    <row r="391" spans="1:18" s="94" customFormat="1" ht="118.5" customHeight="1">
      <c r="A391" s="44"/>
      <c r="B391" s="550" t="s">
        <v>759</v>
      </c>
      <c r="C391" s="694" t="s">
        <v>170</v>
      </c>
      <c r="D391" s="694" t="s">
        <v>211</v>
      </c>
      <c r="E391" s="694" t="s">
        <v>249</v>
      </c>
      <c r="F391" s="694" t="s">
        <v>250</v>
      </c>
      <c r="G391" s="694" t="s">
        <v>111</v>
      </c>
      <c r="H391" s="694" t="s">
        <v>251</v>
      </c>
      <c r="I391" s="694" t="s">
        <v>1491</v>
      </c>
      <c r="J391" s="694" t="s">
        <v>81</v>
      </c>
      <c r="K391" s="694" t="s">
        <v>252</v>
      </c>
      <c r="L391" s="244"/>
      <c r="M391" s="152"/>
      <c r="N391" s="153"/>
      <c r="O391" s="153"/>
      <c r="P391" s="153"/>
      <c r="Q391" s="153"/>
      <c r="R391" s="153"/>
    </row>
    <row r="392" spans="1:18" s="94" customFormat="1" ht="77.25" customHeight="1">
      <c r="A392" s="44"/>
      <c r="B392" s="977" t="s">
        <v>760</v>
      </c>
      <c r="C392" s="830" t="s">
        <v>170</v>
      </c>
      <c r="D392" s="830" t="s">
        <v>211</v>
      </c>
      <c r="E392" s="830" t="s">
        <v>172</v>
      </c>
      <c r="F392" s="830" t="s">
        <v>212</v>
      </c>
      <c r="G392" s="830" t="s">
        <v>213</v>
      </c>
      <c r="H392" s="830" t="s">
        <v>214</v>
      </c>
      <c r="I392" s="830" t="s">
        <v>1491</v>
      </c>
      <c r="J392" s="830" t="s">
        <v>81</v>
      </c>
      <c r="K392" s="830" t="s">
        <v>216</v>
      </c>
      <c r="L392" s="596" t="s">
        <v>20</v>
      </c>
      <c r="M392" s="596" t="s">
        <v>30</v>
      </c>
      <c r="N392" s="597">
        <v>15.087999999999999</v>
      </c>
      <c r="O392" s="597">
        <v>15.087999999999999</v>
      </c>
      <c r="P392" s="597">
        <v>15.78</v>
      </c>
      <c r="Q392" s="597">
        <v>15.78</v>
      </c>
      <c r="R392" s="597">
        <v>15.78</v>
      </c>
    </row>
    <row r="393" spans="1:18" s="154" customFormat="1" ht="80.25" customHeight="1">
      <c r="A393" s="198"/>
      <c r="B393" s="978"/>
      <c r="C393" s="831"/>
      <c r="D393" s="831"/>
      <c r="E393" s="831"/>
      <c r="F393" s="831"/>
      <c r="G393" s="831"/>
      <c r="H393" s="831"/>
      <c r="I393" s="831"/>
      <c r="J393" s="831"/>
      <c r="K393" s="831"/>
      <c r="L393" s="598"/>
      <c r="M393" s="598"/>
      <c r="N393" s="599"/>
      <c r="O393" s="599"/>
      <c r="P393" s="599"/>
      <c r="Q393" s="599"/>
      <c r="R393" s="599"/>
    </row>
    <row r="394" spans="1:18" s="94" customFormat="1" ht="14.25" customHeight="1">
      <c r="A394" s="982" t="s">
        <v>1162</v>
      </c>
      <c r="B394" s="663">
        <v>1802</v>
      </c>
      <c r="C394" s="712"/>
      <c r="D394" s="712"/>
      <c r="E394" s="143"/>
      <c r="F394" s="712"/>
      <c r="G394" s="712"/>
      <c r="H394" s="712"/>
      <c r="I394" s="712"/>
      <c r="J394" s="712"/>
      <c r="K394" s="712"/>
      <c r="L394" s="663"/>
      <c r="M394" s="663"/>
      <c r="N394" s="87">
        <f t="shared" ref="N394:R394" si="63">SUM(N395:N406)</f>
        <v>4860.723</v>
      </c>
      <c r="O394" s="87">
        <f t="shared" si="63"/>
        <v>4589.8630000000003</v>
      </c>
      <c r="P394" s="87">
        <f t="shared" si="63"/>
        <v>4831.3710000000001</v>
      </c>
      <c r="Q394" s="87">
        <f t="shared" si="63"/>
        <v>4831.3710000000001</v>
      </c>
      <c r="R394" s="87">
        <f t="shared" si="63"/>
        <v>4831.3710000000001</v>
      </c>
    </row>
    <row r="395" spans="1:18" s="154" customFormat="1" ht="132.75" customHeight="1">
      <c r="A395" s="962"/>
      <c r="B395" s="707" t="s">
        <v>596</v>
      </c>
      <c r="C395" s="697" t="s">
        <v>193</v>
      </c>
      <c r="D395" s="697" t="s">
        <v>678</v>
      </c>
      <c r="E395" s="697" t="s">
        <v>194</v>
      </c>
      <c r="F395" s="697" t="s">
        <v>195</v>
      </c>
      <c r="G395" s="697" t="s">
        <v>679</v>
      </c>
      <c r="H395" s="697" t="s">
        <v>196</v>
      </c>
      <c r="I395" s="697" t="s">
        <v>834</v>
      </c>
      <c r="J395" s="765" t="s">
        <v>197</v>
      </c>
      <c r="K395" s="765" t="s">
        <v>198</v>
      </c>
      <c r="L395" s="152" t="s">
        <v>29</v>
      </c>
      <c r="M395" s="152" t="s">
        <v>34</v>
      </c>
      <c r="N395" s="153">
        <v>4176.6909999999998</v>
      </c>
      <c r="O395" s="153">
        <v>3994.6260000000002</v>
      </c>
      <c r="P395" s="153">
        <v>4077.9110000000001</v>
      </c>
      <c r="Q395" s="153">
        <v>4077.9110000000001</v>
      </c>
      <c r="R395" s="153">
        <v>4077.9110000000001</v>
      </c>
    </row>
    <row r="396" spans="1:18" s="154" customFormat="1" ht="108" customHeight="1">
      <c r="A396" s="962"/>
      <c r="B396" s="550" t="s">
        <v>597</v>
      </c>
      <c r="C396" s="694" t="s">
        <v>234</v>
      </c>
      <c r="D396" s="694" t="s">
        <v>235</v>
      </c>
      <c r="E396" s="694" t="s">
        <v>236</v>
      </c>
      <c r="F396" s="694" t="s">
        <v>237</v>
      </c>
      <c r="G396" s="694" t="s">
        <v>238</v>
      </c>
      <c r="H396" s="764" t="s">
        <v>231</v>
      </c>
      <c r="I396" s="712" t="s">
        <v>239</v>
      </c>
      <c r="J396" s="712" t="s">
        <v>81</v>
      </c>
      <c r="K396" s="694" t="s">
        <v>240</v>
      </c>
      <c r="L396" s="36"/>
      <c r="M396" s="36"/>
      <c r="N396" s="153"/>
      <c r="O396" s="153"/>
      <c r="P396" s="153"/>
      <c r="Q396" s="153"/>
      <c r="R396" s="153"/>
    </row>
    <row r="397" spans="1:18" s="154" customFormat="1" ht="120" customHeight="1">
      <c r="A397" s="962"/>
      <c r="B397" s="155"/>
      <c r="C397" s="694" t="s">
        <v>241</v>
      </c>
      <c r="D397" s="694" t="s">
        <v>242</v>
      </c>
      <c r="E397" s="694" t="s">
        <v>243</v>
      </c>
      <c r="F397" s="694" t="s">
        <v>244</v>
      </c>
      <c r="G397" s="694" t="s">
        <v>245</v>
      </c>
      <c r="H397" s="694" t="s">
        <v>246</v>
      </c>
      <c r="I397" s="712" t="s">
        <v>247</v>
      </c>
      <c r="J397" s="712" t="s">
        <v>81</v>
      </c>
      <c r="K397" s="712" t="s">
        <v>248</v>
      </c>
      <c r="L397" s="152"/>
      <c r="M397" s="152"/>
      <c r="N397" s="153"/>
      <c r="O397" s="153"/>
      <c r="P397" s="153"/>
      <c r="Q397" s="153"/>
      <c r="R397" s="153"/>
    </row>
    <row r="398" spans="1:18" s="154" customFormat="1" ht="120.75" customHeight="1">
      <c r="A398" s="197"/>
      <c r="B398" s="553" t="s">
        <v>598</v>
      </c>
      <c r="C398" s="694" t="s">
        <v>170</v>
      </c>
      <c r="D398" s="694" t="s">
        <v>211</v>
      </c>
      <c r="E398" s="694" t="s">
        <v>249</v>
      </c>
      <c r="F398" s="694" t="s">
        <v>250</v>
      </c>
      <c r="G398" s="694" t="s">
        <v>111</v>
      </c>
      <c r="H398" s="694" t="s">
        <v>251</v>
      </c>
      <c r="I398" s="694" t="s">
        <v>1491</v>
      </c>
      <c r="J398" s="694" t="s">
        <v>81</v>
      </c>
      <c r="K398" s="694" t="s">
        <v>252</v>
      </c>
      <c r="L398" s="152"/>
      <c r="M398" s="152"/>
      <c r="N398" s="153"/>
      <c r="O398" s="153"/>
      <c r="P398" s="153"/>
      <c r="Q398" s="153"/>
      <c r="R398" s="153"/>
    </row>
    <row r="399" spans="1:18" s="154" customFormat="1" ht="156.75" customHeight="1">
      <c r="A399" s="197"/>
      <c r="B399" s="553" t="s">
        <v>599</v>
      </c>
      <c r="C399" s="680" t="s">
        <v>392</v>
      </c>
      <c r="D399" s="42" t="s">
        <v>393</v>
      </c>
      <c r="E399" s="680" t="s">
        <v>394</v>
      </c>
      <c r="F399" s="694" t="s">
        <v>253</v>
      </c>
      <c r="G399" s="694" t="s">
        <v>254</v>
      </c>
      <c r="H399" s="764" t="s">
        <v>231</v>
      </c>
      <c r="I399" s="694" t="s">
        <v>255</v>
      </c>
      <c r="J399" s="764" t="s">
        <v>81</v>
      </c>
      <c r="K399" s="764" t="s">
        <v>256</v>
      </c>
      <c r="L399" s="152"/>
      <c r="M399" s="152"/>
      <c r="N399" s="153"/>
      <c r="O399" s="153"/>
      <c r="P399" s="153"/>
      <c r="Q399" s="153"/>
      <c r="R399" s="153"/>
    </row>
    <row r="400" spans="1:18" s="154" customFormat="1" ht="217.5" customHeight="1">
      <c r="A400" s="197"/>
      <c r="B400" s="553" t="s">
        <v>600</v>
      </c>
      <c r="C400" s="694" t="s">
        <v>868</v>
      </c>
      <c r="D400" s="694" t="s">
        <v>869</v>
      </c>
      <c r="E400" s="694" t="s">
        <v>870</v>
      </c>
      <c r="F400" s="712" t="s">
        <v>267</v>
      </c>
      <c r="G400" s="712" t="s">
        <v>268</v>
      </c>
      <c r="H400" s="143" t="s">
        <v>269</v>
      </c>
      <c r="I400" s="712" t="s">
        <v>705</v>
      </c>
      <c r="J400" s="143" t="s">
        <v>270</v>
      </c>
      <c r="K400" s="144" t="s">
        <v>271</v>
      </c>
      <c r="L400" s="152"/>
      <c r="M400" s="152"/>
      <c r="N400" s="153"/>
      <c r="O400" s="153"/>
      <c r="P400" s="153"/>
      <c r="Q400" s="153"/>
      <c r="R400" s="153"/>
    </row>
    <row r="401" spans="1:18" s="154" customFormat="1" ht="180" customHeight="1">
      <c r="A401" s="197"/>
      <c r="B401" s="553" t="s">
        <v>601</v>
      </c>
      <c r="C401" s="694" t="s">
        <v>276</v>
      </c>
      <c r="D401" s="694" t="s">
        <v>277</v>
      </c>
      <c r="E401" s="764" t="s">
        <v>278</v>
      </c>
      <c r="F401" s="694" t="s">
        <v>279</v>
      </c>
      <c r="G401" s="694" t="s">
        <v>704</v>
      </c>
      <c r="H401" s="694" t="s">
        <v>280</v>
      </c>
      <c r="I401" s="694" t="s">
        <v>801</v>
      </c>
      <c r="J401" s="733" t="s">
        <v>200</v>
      </c>
      <c r="K401" s="733" t="s">
        <v>281</v>
      </c>
      <c r="L401" s="152"/>
      <c r="M401" s="152"/>
      <c r="N401" s="153"/>
      <c r="O401" s="153"/>
      <c r="P401" s="153"/>
      <c r="Q401" s="153"/>
      <c r="R401" s="153"/>
    </row>
    <row r="402" spans="1:18" s="154" customFormat="1" ht="96.75" customHeight="1">
      <c r="A402" s="197"/>
      <c r="B402" s="553" t="s">
        <v>602</v>
      </c>
      <c r="C402" s="213" t="s">
        <v>800</v>
      </c>
      <c r="D402" s="214" t="s">
        <v>798</v>
      </c>
      <c r="E402" s="214" t="s">
        <v>799</v>
      </c>
      <c r="F402" s="214" t="s">
        <v>257</v>
      </c>
      <c r="G402" s="214" t="s">
        <v>225</v>
      </c>
      <c r="H402" s="214" t="s">
        <v>226</v>
      </c>
      <c r="I402" s="220" t="s">
        <v>258</v>
      </c>
      <c r="J402" s="220" t="s">
        <v>64</v>
      </c>
      <c r="K402" s="221" t="s">
        <v>259</v>
      </c>
      <c r="L402" s="152" t="s">
        <v>34</v>
      </c>
      <c r="M402" s="152" t="s">
        <v>29</v>
      </c>
      <c r="N402" s="153">
        <v>53.277000000000001</v>
      </c>
      <c r="O402" s="153">
        <v>53.131999999999998</v>
      </c>
      <c r="P402" s="153">
        <v>55.5</v>
      </c>
      <c r="Q402" s="153">
        <v>55.5</v>
      </c>
      <c r="R402" s="153">
        <v>55.5</v>
      </c>
    </row>
    <row r="403" spans="1:18" s="154" customFormat="1" ht="108.75" customHeight="1">
      <c r="A403" s="197"/>
      <c r="B403" s="553" t="s">
        <v>666</v>
      </c>
      <c r="C403" s="218" t="s">
        <v>387</v>
      </c>
      <c r="D403" s="218" t="s">
        <v>388</v>
      </c>
      <c r="E403" s="218" t="s">
        <v>389</v>
      </c>
      <c r="F403" s="218" t="s">
        <v>390</v>
      </c>
      <c r="G403" s="218" t="s">
        <v>391</v>
      </c>
      <c r="H403" s="218" t="s">
        <v>57</v>
      </c>
      <c r="I403" s="218" t="s">
        <v>1273</v>
      </c>
      <c r="J403" s="219" t="s">
        <v>66</v>
      </c>
      <c r="K403" s="219" t="s">
        <v>381</v>
      </c>
      <c r="L403" s="152" t="s">
        <v>34</v>
      </c>
      <c r="M403" s="152" t="s">
        <v>32</v>
      </c>
      <c r="N403" s="153">
        <v>584.34299999999996</v>
      </c>
      <c r="O403" s="153">
        <v>536.029</v>
      </c>
      <c r="P403" s="153">
        <v>651.14</v>
      </c>
      <c r="Q403" s="153">
        <v>651.14</v>
      </c>
      <c r="R403" s="153">
        <v>651.14</v>
      </c>
    </row>
    <row r="404" spans="1:18" s="154" customFormat="1" ht="97.5" customHeight="1">
      <c r="A404" s="197"/>
      <c r="B404" s="553" t="s">
        <v>667</v>
      </c>
      <c r="C404" s="691" t="s">
        <v>260</v>
      </c>
      <c r="D404" s="691" t="s">
        <v>261</v>
      </c>
      <c r="E404" s="691" t="s">
        <v>262</v>
      </c>
      <c r="F404" s="691" t="s">
        <v>263</v>
      </c>
      <c r="G404" s="691" t="s">
        <v>668</v>
      </c>
      <c r="H404" s="691" t="s">
        <v>664</v>
      </c>
      <c r="I404" s="691" t="s">
        <v>665</v>
      </c>
      <c r="J404" s="560" t="s">
        <v>81</v>
      </c>
      <c r="K404" s="560" t="s">
        <v>266</v>
      </c>
      <c r="L404" s="152"/>
      <c r="M404" s="152"/>
      <c r="N404" s="153"/>
      <c r="O404" s="153"/>
      <c r="P404" s="153"/>
      <c r="Q404" s="153"/>
      <c r="R404" s="153"/>
    </row>
    <row r="405" spans="1:18" s="94" customFormat="1" ht="131.25" customHeight="1">
      <c r="A405" s="44"/>
      <c r="B405" s="550" t="s">
        <v>759</v>
      </c>
      <c r="C405" s="694" t="s">
        <v>170</v>
      </c>
      <c r="D405" s="694" t="s">
        <v>211</v>
      </c>
      <c r="E405" s="694" t="s">
        <v>249</v>
      </c>
      <c r="F405" s="694" t="s">
        <v>250</v>
      </c>
      <c r="G405" s="694" t="s">
        <v>111</v>
      </c>
      <c r="H405" s="694" t="s">
        <v>251</v>
      </c>
      <c r="I405" s="694" t="s">
        <v>1491</v>
      </c>
      <c r="J405" s="694" t="s">
        <v>81</v>
      </c>
      <c r="K405" s="694" t="s">
        <v>252</v>
      </c>
      <c r="L405" s="244" t="s">
        <v>40</v>
      </c>
      <c r="M405" s="152" t="s">
        <v>32</v>
      </c>
      <c r="N405" s="153">
        <v>40</v>
      </c>
      <c r="O405" s="153">
        <v>0</v>
      </c>
      <c r="P405" s="153">
        <v>40</v>
      </c>
      <c r="Q405" s="153">
        <v>40</v>
      </c>
      <c r="R405" s="153">
        <v>40</v>
      </c>
    </row>
    <row r="406" spans="1:18" s="154" customFormat="1" ht="156" customHeight="1">
      <c r="A406" s="627"/>
      <c r="B406" s="628" t="s">
        <v>603</v>
      </c>
      <c r="C406" s="626" t="s">
        <v>170</v>
      </c>
      <c r="D406" s="626" t="s">
        <v>211</v>
      </c>
      <c r="E406" s="626" t="s">
        <v>172</v>
      </c>
      <c r="F406" s="626" t="s">
        <v>212</v>
      </c>
      <c r="G406" s="626" t="s">
        <v>213</v>
      </c>
      <c r="H406" s="626" t="s">
        <v>214</v>
      </c>
      <c r="I406" s="626" t="s">
        <v>1491</v>
      </c>
      <c r="J406" s="626" t="s">
        <v>81</v>
      </c>
      <c r="K406" s="626" t="s">
        <v>216</v>
      </c>
      <c r="L406" s="629" t="s">
        <v>20</v>
      </c>
      <c r="M406" s="629" t="s">
        <v>30</v>
      </c>
      <c r="N406" s="630">
        <v>6.4119999999999999</v>
      </c>
      <c r="O406" s="630">
        <v>6.0759999999999996</v>
      </c>
      <c r="P406" s="630">
        <v>6.82</v>
      </c>
      <c r="Q406" s="630">
        <v>6.82</v>
      </c>
      <c r="R406" s="630">
        <v>6.82</v>
      </c>
    </row>
    <row r="407" spans="1:18" s="94" customFormat="1" ht="131.25" customHeight="1">
      <c r="A407" s="83" t="s">
        <v>1418</v>
      </c>
      <c r="B407" s="553" t="s">
        <v>1419</v>
      </c>
      <c r="C407" s="712" t="s">
        <v>193</v>
      </c>
      <c r="D407" s="712" t="s">
        <v>678</v>
      </c>
      <c r="E407" s="712" t="s">
        <v>194</v>
      </c>
      <c r="F407" s="712" t="s">
        <v>195</v>
      </c>
      <c r="G407" s="712" t="s">
        <v>679</v>
      </c>
      <c r="H407" s="712" t="s">
        <v>196</v>
      </c>
      <c r="I407" s="712" t="s">
        <v>861</v>
      </c>
      <c r="J407" s="712" t="s">
        <v>197</v>
      </c>
      <c r="K407" s="712" t="s">
        <v>198</v>
      </c>
      <c r="L407" s="553" t="s">
        <v>29</v>
      </c>
      <c r="M407" s="553" t="s">
        <v>23</v>
      </c>
      <c r="N407" s="87">
        <v>0</v>
      </c>
      <c r="O407" s="87">
        <v>0</v>
      </c>
      <c r="P407" s="87">
        <v>1093.5999999999999</v>
      </c>
      <c r="Q407" s="87">
        <v>1093.5999999999999</v>
      </c>
      <c r="R407" s="87">
        <v>1093.5999999999999</v>
      </c>
    </row>
    <row r="408" spans="1:18" s="94" customFormat="1" ht="156" customHeight="1">
      <c r="A408" s="412" t="s">
        <v>969</v>
      </c>
      <c r="B408" s="631">
        <v>1805</v>
      </c>
      <c r="C408" s="715" t="s">
        <v>387</v>
      </c>
      <c r="D408" s="715" t="s">
        <v>388</v>
      </c>
      <c r="E408" s="715" t="s">
        <v>389</v>
      </c>
      <c r="F408" s="794" t="s">
        <v>390</v>
      </c>
      <c r="G408" s="794" t="s">
        <v>391</v>
      </c>
      <c r="H408" s="794" t="s">
        <v>57</v>
      </c>
      <c r="I408" s="794" t="s">
        <v>1273</v>
      </c>
      <c r="J408" s="835" t="s">
        <v>66</v>
      </c>
      <c r="K408" s="835" t="s">
        <v>381</v>
      </c>
      <c r="L408" s="631" t="s">
        <v>34</v>
      </c>
      <c r="M408" s="631" t="s">
        <v>32</v>
      </c>
      <c r="N408" s="632">
        <v>7720.0110000000004</v>
      </c>
      <c r="O408" s="632">
        <v>7717.174</v>
      </c>
      <c r="P408" s="632">
        <v>7717.06</v>
      </c>
      <c r="Q408" s="632">
        <v>7717.06</v>
      </c>
      <c r="R408" s="632">
        <v>7691.65</v>
      </c>
    </row>
    <row r="409" spans="1:18" s="94" customFormat="1" ht="59.25" hidden="1" customHeight="1">
      <c r="A409" s="38"/>
      <c r="B409" s="688"/>
      <c r="C409" s="693" t="s">
        <v>344</v>
      </c>
      <c r="D409" s="693" t="s">
        <v>64</v>
      </c>
      <c r="E409" s="693" t="s">
        <v>345</v>
      </c>
      <c r="F409" s="794"/>
      <c r="G409" s="794"/>
      <c r="H409" s="794"/>
      <c r="I409" s="826"/>
      <c r="J409" s="836"/>
      <c r="K409" s="836"/>
      <c r="L409" s="688"/>
      <c r="M409" s="688"/>
      <c r="N409" s="281"/>
      <c r="O409" s="367"/>
      <c r="P409" s="281"/>
      <c r="Q409" s="134"/>
      <c r="R409" s="134"/>
    </row>
    <row r="410" spans="1:18" s="94" customFormat="1" ht="204" customHeight="1">
      <c r="A410" s="90" t="s">
        <v>824</v>
      </c>
      <c r="B410" s="717">
        <v>1807</v>
      </c>
      <c r="C410" s="218" t="s">
        <v>387</v>
      </c>
      <c r="D410" s="218" t="s">
        <v>1346</v>
      </c>
      <c r="E410" s="218" t="s">
        <v>389</v>
      </c>
      <c r="F410" s="879"/>
      <c r="G410" s="879"/>
      <c r="H410" s="879"/>
      <c r="I410" s="827"/>
      <c r="J410" s="837"/>
      <c r="K410" s="837"/>
      <c r="L410" s="717" t="s">
        <v>34</v>
      </c>
      <c r="M410" s="717" t="s">
        <v>32</v>
      </c>
      <c r="N410" s="172">
        <v>1899.1</v>
      </c>
      <c r="O410" s="394">
        <v>1686.538</v>
      </c>
      <c r="P410" s="584">
        <v>1931.3019999999999</v>
      </c>
      <c r="Q410" s="584">
        <v>1931.3019999999999</v>
      </c>
      <c r="R410" s="584">
        <v>1931.3019999999999</v>
      </c>
    </row>
    <row r="411" spans="1:18" s="94" customFormat="1" ht="51.75" customHeight="1">
      <c r="A411" s="948" t="s">
        <v>551</v>
      </c>
      <c r="B411" s="681" t="s">
        <v>552</v>
      </c>
      <c r="C411" s="838" t="s">
        <v>203</v>
      </c>
      <c r="D411" s="838" t="s">
        <v>205</v>
      </c>
      <c r="E411" s="838" t="s">
        <v>204</v>
      </c>
      <c r="F411" s="963" t="s">
        <v>206</v>
      </c>
      <c r="G411" s="838" t="s">
        <v>207</v>
      </c>
      <c r="H411" s="967" t="s">
        <v>208</v>
      </c>
      <c r="I411" s="826" t="s">
        <v>209</v>
      </c>
      <c r="J411" s="826" t="s">
        <v>68</v>
      </c>
      <c r="K411" s="836" t="s">
        <v>210</v>
      </c>
      <c r="L411" s="681" t="s">
        <v>40</v>
      </c>
      <c r="M411" s="681" t="s">
        <v>29</v>
      </c>
      <c r="N411" s="43">
        <v>283.83600000000001</v>
      </c>
      <c r="O411" s="366">
        <v>283.83600000000001</v>
      </c>
      <c r="P411" s="87">
        <v>343.72800000000001</v>
      </c>
      <c r="Q411" s="87">
        <v>343.72800000000001</v>
      </c>
      <c r="R411" s="87">
        <v>343.72800000000001</v>
      </c>
    </row>
    <row r="412" spans="1:18" s="94" customFormat="1" ht="57" customHeight="1">
      <c r="A412" s="948"/>
      <c r="B412" s="681"/>
      <c r="C412" s="838"/>
      <c r="D412" s="838"/>
      <c r="E412" s="838"/>
      <c r="F412" s="963"/>
      <c r="G412" s="838"/>
      <c r="H412" s="967"/>
      <c r="I412" s="826"/>
      <c r="J412" s="826"/>
      <c r="K412" s="836"/>
      <c r="L412" s="680" t="s">
        <v>40</v>
      </c>
      <c r="M412" s="680" t="s">
        <v>33</v>
      </c>
      <c r="N412" s="15">
        <v>612.12400000000002</v>
      </c>
      <c r="O412" s="583">
        <v>576.45799999999997</v>
      </c>
      <c r="P412" s="87">
        <v>688.024</v>
      </c>
      <c r="Q412" s="87">
        <v>688.024</v>
      </c>
      <c r="R412" s="87">
        <v>688.024</v>
      </c>
    </row>
    <row r="413" spans="1:18" s="94" customFormat="1" ht="48" customHeight="1">
      <c r="A413" s="974"/>
      <c r="B413" s="681"/>
      <c r="C413" s="92"/>
      <c r="D413" s="92"/>
      <c r="E413" s="92"/>
      <c r="F413" s="964"/>
      <c r="G413" s="92"/>
      <c r="H413" s="92"/>
      <c r="I413" s="92"/>
      <c r="J413" s="92"/>
      <c r="K413" s="109"/>
      <c r="L413" s="706" t="s">
        <v>40</v>
      </c>
      <c r="M413" s="706" t="s">
        <v>38</v>
      </c>
      <c r="N413" s="15">
        <v>26.04</v>
      </c>
      <c r="O413" s="583">
        <v>26.04</v>
      </c>
      <c r="P413" s="87">
        <v>31.248000000000001</v>
      </c>
      <c r="Q413" s="87">
        <v>31.248000000000001</v>
      </c>
      <c r="R413" s="87">
        <v>31.248000000000001</v>
      </c>
    </row>
    <row r="414" spans="1:18" s="94" customFormat="1" ht="59.25" hidden="1" customHeight="1">
      <c r="A414" s="42" t="s">
        <v>553</v>
      </c>
      <c r="B414" s="680" t="s">
        <v>554</v>
      </c>
      <c r="C414" s="691" t="s">
        <v>170</v>
      </c>
      <c r="D414" s="691" t="s">
        <v>211</v>
      </c>
      <c r="E414" s="691" t="s">
        <v>172</v>
      </c>
      <c r="F414" s="691" t="s">
        <v>212</v>
      </c>
      <c r="G414" s="691" t="s">
        <v>213</v>
      </c>
      <c r="H414" s="691" t="s">
        <v>214</v>
      </c>
      <c r="I414" s="691" t="s">
        <v>215</v>
      </c>
      <c r="J414" s="691" t="s">
        <v>81</v>
      </c>
      <c r="K414" s="691" t="s">
        <v>216</v>
      </c>
      <c r="L414" s="717" t="s">
        <v>20</v>
      </c>
      <c r="M414" s="717" t="s">
        <v>30</v>
      </c>
      <c r="N414" s="172"/>
      <c r="O414" s="365"/>
      <c r="P414" s="366"/>
      <c r="Q414" s="132"/>
      <c r="R414" s="132"/>
    </row>
    <row r="415" spans="1:18" s="94" customFormat="1" ht="156">
      <c r="A415" s="90" t="s">
        <v>553</v>
      </c>
      <c r="B415" s="717">
        <v>1828</v>
      </c>
      <c r="C415" s="691" t="s">
        <v>170</v>
      </c>
      <c r="D415" s="691" t="s">
        <v>211</v>
      </c>
      <c r="E415" s="691" t="s">
        <v>172</v>
      </c>
      <c r="F415" s="691" t="s">
        <v>212</v>
      </c>
      <c r="G415" s="691" t="s">
        <v>213</v>
      </c>
      <c r="H415" s="691" t="s">
        <v>214</v>
      </c>
      <c r="I415" s="218" t="s">
        <v>1492</v>
      </c>
      <c r="J415" s="218" t="s">
        <v>64</v>
      </c>
      <c r="K415" s="218" t="s">
        <v>469</v>
      </c>
      <c r="L415" s="706" t="s">
        <v>20</v>
      </c>
      <c r="M415" s="706" t="s">
        <v>34</v>
      </c>
      <c r="N415" s="172">
        <f>174.076+0+0+0</f>
        <v>174.07599999999999</v>
      </c>
      <c r="O415" s="394">
        <v>0</v>
      </c>
      <c r="P415" s="172">
        <v>176.08799999999999</v>
      </c>
      <c r="Q415" s="172">
        <v>9834.9</v>
      </c>
      <c r="R415" s="172">
        <v>9822.7999999999993</v>
      </c>
    </row>
    <row r="416" spans="1:18" s="94" customFormat="1" ht="157.5" customHeight="1">
      <c r="A416" s="983" t="s">
        <v>1163</v>
      </c>
      <c r="B416" s="707" t="s">
        <v>1182</v>
      </c>
      <c r="C416" s="758" t="s">
        <v>228</v>
      </c>
      <c r="D416" s="697" t="s">
        <v>225</v>
      </c>
      <c r="E416" s="697" t="s">
        <v>229</v>
      </c>
      <c r="F416" s="697" t="s">
        <v>219</v>
      </c>
      <c r="G416" s="697" t="s">
        <v>230</v>
      </c>
      <c r="H416" s="765" t="s">
        <v>231</v>
      </c>
      <c r="I416" s="697" t="s">
        <v>738</v>
      </c>
      <c r="J416" s="697" t="s">
        <v>232</v>
      </c>
      <c r="K416" s="222" t="s">
        <v>233</v>
      </c>
      <c r="L416" s="680" t="s">
        <v>40</v>
      </c>
      <c r="M416" s="680" t="s">
        <v>33</v>
      </c>
      <c r="N416" s="15">
        <v>1373.424</v>
      </c>
      <c r="O416" s="357">
        <v>1373.424</v>
      </c>
      <c r="P416" s="15">
        <v>1413.7</v>
      </c>
      <c r="Q416" s="15">
        <v>1413.7</v>
      </c>
      <c r="R416" s="15">
        <v>1413.7</v>
      </c>
    </row>
    <row r="417" spans="1:18" s="94" customFormat="1" ht="190.5" customHeight="1">
      <c r="A417" s="984"/>
      <c r="B417" s="707" t="s">
        <v>406</v>
      </c>
      <c r="C417" s="759" t="s">
        <v>217</v>
      </c>
      <c r="D417" s="494" t="s">
        <v>166</v>
      </c>
      <c r="E417" s="494" t="s">
        <v>218</v>
      </c>
      <c r="F417" s="494" t="s">
        <v>219</v>
      </c>
      <c r="G417" s="494" t="s">
        <v>220</v>
      </c>
      <c r="H417" s="494" t="s">
        <v>196</v>
      </c>
      <c r="I417" s="494" t="s">
        <v>1493</v>
      </c>
      <c r="J417" s="216" t="s">
        <v>221</v>
      </c>
      <c r="K417" s="217" t="s">
        <v>222</v>
      </c>
      <c r="L417" s="680" t="s">
        <v>20</v>
      </c>
      <c r="M417" s="680" t="s">
        <v>34</v>
      </c>
      <c r="N417" s="15">
        <v>38053.199999999997</v>
      </c>
      <c r="O417" s="357">
        <v>33197.745999999999</v>
      </c>
      <c r="P417" s="15">
        <v>37951.800000000003</v>
      </c>
      <c r="Q417" s="15">
        <v>37951.800000000003</v>
      </c>
      <c r="R417" s="15">
        <v>37951.800000000003</v>
      </c>
    </row>
    <row r="418" spans="1:18" s="94" customFormat="1" ht="108.75" customHeight="1">
      <c r="A418" s="42" t="s">
        <v>1164</v>
      </c>
      <c r="B418" s="680" t="s">
        <v>744</v>
      </c>
      <c r="C418" s="712" t="s">
        <v>260</v>
      </c>
      <c r="D418" s="712" t="s">
        <v>261</v>
      </c>
      <c r="E418" s="712" t="s">
        <v>262</v>
      </c>
      <c r="F418" s="712" t="s">
        <v>263</v>
      </c>
      <c r="G418" s="712" t="s">
        <v>238</v>
      </c>
      <c r="H418" s="712" t="s">
        <v>264</v>
      </c>
      <c r="I418" s="702" t="s">
        <v>265</v>
      </c>
      <c r="J418" s="702" t="s">
        <v>64</v>
      </c>
      <c r="K418" s="713" t="s">
        <v>266</v>
      </c>
      <c r="L418" s="680" t="s">
        <v>34</v>
      </c>
      <c r="M418" s="680" t="s">
        <v>32</v>
      </c>
      <c r="N418" s="15">
        <v>1427</v>
      </c>
      <c r="O418" s="357">
        <v>1425.751</v>
      </c>
      <c r="P418" s="15">
        <v>1441.2</v>
      </c>
      <c r="Q418" s="15">
        <v>1441.2</v>
      </c>
      <c r="R418" s="15">
        <v>1441.2</v>
      </c>
    </row>
    <row r="419" spans="1:18" s="94" customFormat="1" ht="36.75" customHeight="1">
      <c r="A419" s="975" t="s">
        <v>1165</v>
      </c>
      <c r="B419" s="190" t="s">
        <v>720</v>
      </c>
      <c r="C419" s="873" t="s">
        <v>203</v>
      </c>
      <c r="D419" s="873" t="s">
        <v>223</v>
      </c>
      <c r="E419" s="873" t="s">
        <v>204</v>
      </c>
      <c r="F419" s="873" t="s">
        <v>224</v>
      </c>
      <c r="G419" s="873" t="s">
        <v>225</v>
      </c>
      <c r="H419" s="873" t="s">
        <v>226</v>
      </c>
      <c r="I419" s="845" t="s">
        <v>1465</v>
      </c>
      <c r="J419" s="845" t="s">
        <v>64</v>
      </c>
      <c r="K419" s="876" t="s">
        <v>227</v>
      </c>
      <c r="L419" s="186" t="s">
        <v>40</v>
      </c>
      <c r="M419" s="164" t="s">
        <v>29</v>
      </c>
      <c r="N419" s="172">
        <v>453.2</v>
      </c>
      <c r="O419" s="394">
        <v>453.2</v>
      </c>
      <c r="P419" s="172">
        <v>453.2</v>
      </c>
      <c r="Q419" s="172">
        <v>453.2</v>
      </c>
      <c r="R419" s="172">
        <v>453.2</v>
      </c>
    </row>
    <row r="420" spans="1:18" s="94" customFormat="1" ht="23.25" customHeight="1">
      <c r="A420" s="948"/>
      <c r="B420" s="230" t="s">
        <v>719</v>
      </c>
      <c r="C420" s="873"/>
      <c r="D420" s="873"/>
      <c r="E420" s="873"/>
      <c r="F420" s="873"/>
      <c r="G420" s="873"/>
      <c r="H420" s="873"/>
      <c r="I420" s="845"/>
      <c r="J420" s="845"/>
      <c r="K420" s="876"/>
      <c r="L420" s="61" t="s">
        <v>40</v>
      </c>
      <c r="M420" s="706" t="s">
        <v>29</v>
      </c>
      <c r="N420" s="15">
        <v>563.73699999999997</v>
      </c>
      <c r="O420" s="357">
        <v>563.73699999999997</v>
      </c>
      <c r="P420" s="15">
        <v>0</v>
      </c>
      <c r="Q420" s="15">
        <v>0</v>
      </c>
      <c r="R420" s="15">
        <v>0</v>
      </c>
    </row>
    <row r="421" spans="1:18" s="94" customFormat="1" ht="338.25" customHeight="1">
      <c r="A421" s="974"/>
      <c r="B421" s="191"/>
      <c r="C421" s="873"/>
      <c r="D421" s="873"/>
      <c r="E421" s="873"/>
      <c r="F421" s="873"/>
      <c r="G421" s="873"/>
      <c r="H421" s="873"/>
      <c r="I421" s="845"/>
      <c r="J421" s="845"/>
      <c r="K421" s="876"/>
      <c r="L421" s="61" t="s">
        <v>40</v>
      </c>
      <c r="M421" s="706" t="s">
        <v>33</v>
      </c>
      <c r="N421" s="15">
        <v>19619.463</v>
      </c>
      <c r="O421" s="357">
        <v>15868.81</v>
      </c>
      <c r="P421" s="15">
        <v>156.30000000000001</v>
      </c>
      <c r="Q421" s="15">
        <v>156.30000000000001</v>
      </c>
      <c r="R421" s="15">
        <v>156.30000000000001</v>
      </c>
    </row>
    <row r="422" spans="1:18" s="95" customFormat="1" ht="72.75" customHeight="1">
      <c r="A422" s="28" t="s">
        <v>970</v>
      </c>
      <c r="B422" s="747">
        <v>2000</v>
      </c>
      <c r="C422" s="187"/>
      <c r="D422" s="187"/>
      <c r="E422" s="188"/>
      <c r="F422" s="187"/>
      <c r="G422" s="187"/>
      <c r="H422" s="187"/>
      <c r="I422" s="187"/>
      <c r="J422" s="189"/>
      <c r="K422" s="189"/>
      <c r="L422" s="747"/>
      <c r="M422" s="747"/>
      <c r="N422" s="29">
        <f t="shared" ref="N422:R422" si="64">SUM(N423:N426)</f>
        <v>701489.89999999991</v>
      </c>
      <c r="O422" s="29">
        <f t="shared" si="64"/>
        <v>701110.13500000001</v>
      </c>
      <c r="P422" s="29">
        <f t="shared" si="64"/>
        <v>691770.48</v>
      </c>
      <c r="Q422" s="29">
        <f t="shared" si="64"/>
        <v>692352.29999999993</v>
      </c>
      <c r="R422" s="29">
        <f t="shared" si="64"/>
        <v>692662.4</v>
      </c>
    </row>
    <row r="423" spans="1:18" s="95" customFormat="1" ht="274.5" customHeight="1">
      <c r="A423" s="90" t="s">
        <v>825</v>
      </c>
      <c r="B423" s="112" t="s">
        <v>827</v>
      </c>
      <c r="C423" s="825" t="s">
        <v>203</v>
      </c>
      <c r="D423" s="825" t="s">
        <v>171</v>
      </c>
      <c r="E423" s="825" t="s">
        <v>204</v>
      </c>
      <c r="F423" s="968" t="s">
        <v>272</v>
      </c>
      <c r="G423" s="825" t="s">
        <v>225</v>
      </c>
      <c r="H423" s="825" t="s">
        <v>273</v>
      </c>
      <c r="I423" s="273" t="s">
        <v>749</v>
      </c>
      <c r="J423" s="694" t="s">
        <v>64</v>
      </c>
      <c r="K423" s="256" t="s">
        <v>714</v>
      </c>
      <c r="L423" s="164" t="s">
        <v>40</v>
      </c>
      <c r="M423" s="706" t="s">
        <v>33</v>
      </c>
      <c r="N423" s="15">
        <v>313463.59999999998</v>
      </c>
      <c r="O423" s="357">
        <v>313463.59999999998</v>
      </c>
      <c r="P423" s="15">
        <v>304043.28000000003</v>
      </c>
      <c r="Q423" s="15">
        <v>304334.09999999998</v>
      </c>
      <c r="R423" s="15">
        <v>304489.15000000002</v>
      </c>
    </row>
    <row r="424" spans="1:18" s="95" customFormat="1" ht="156.75" customHeight="1">
      <c r="A424" s="975" t="s">
        <v>826</v>
      </c>
      <c r="B424" s="854" t="s">
        <v>828</v>
      </c>
      <c r="C424" s="826"/>
      <c r="D424" s="826"/>
      <c r="E424" s="826"/>
      <c r="F424" s="969"/>
      <c r="G424" s="826"/>
      <c r="H424" s="826"/>
      <c r="I424" s="257" t="s">
        <v>1428</v>
      </c>
      <c r="J424" s="697" t="s">
        <v>64</v>
      </c>
      <c r="K424" s="765" t="s">
        <v>343</v>
      </c>
      <c r="L424" s="600" t="s">
        <v>40</v>
      </c>
      <c r="M424" s="601" t="s">
        <v>33</v>
      </c>
      <c r="N424" s="602">
        <v>274737.8</v>
      </c>
      <c r="O424" s="602">
        <v>274358.03499999997</v>
      </c>
      <c r="P424" s="602">
        <v>274059.59999999998</v>
      </c>
      <c r="Q424" s="602">
        <v>274350.59999999998</v>
      </c>
      <c r="R424" s="602">
        <v>274505.65000000002</v>
      </c>
    </row>
    <row r="425" spans="1:18" s="95" customFormat="1" ht="119.25" customHeight="1">
      <c r="A425" s="974"/>
      <c r="B425" s="976"/>
      <c r="C425" s="826"/>
      <c r="D425" s="826"/>
      <c r="E425" s="826"/>
      <c r="F425" s="969"/>
      <c r="G425" s="826"/>
      <c r="H425" s="826"/>
      <c r="I425" s="258" t="s">
        <v>713</v>
      </c>
      <c r="J425" s="255" t="s">
        <v>64</v>
      </c>
      <c r="K425" s="255" t="s">
        <v>714</v>
      </c>
      <c r="L425" s="603"/>
      <c r="M425" s="411"/>
      <c r="N425" s="228"/>
      <c r="O425" s="228"/>
      <c r="P425" s="228"/>
      <c r="Q425" s="228"/>
      <c r="R425" s="228"/>
    </row>
    <row r="426" spans="1:18" s="94" customFormat="1" ht="263.25" customHeight="1">
      <c r="A426" s="766" t="s">
        <v>555</v>
      </c>
      <c r="B426" s="705" t="s">
        <v>595</v>
      </c>
      <c r="C426" s="827"/>
      <c r="D426" s="827"/>
      <c r="E426" s="827"/>
      <c r="F426" s="970"/>
      <c r="G426" s="827"/>
      <c r="H426" s="827"/>
      <c r="I426" s="290" t="s">
        <v>274</v>
      </c>
      <c r="J426" s="716" t="s">
        <v>64</v>
      </c>
      <c r="K426" s="667" t="s">
        <v>275</v>
      </c>
      <c r="L426" s="677" t="s">
        <v>40</v>
      </c>
      <c r="M426" s="60" t="s">
        <v>29</v>
      </c>
      <c r="N426" s="384">
        <v>113288.5</v>
      </c>
      <c r="O426" s="384">
        <v>113288.5</v>
      </c>
      <c r="P426" s="384">
        <v>113667.6</v>
      </c>
      <c r="Q426" s="384">
        <v>113667.6</v>
      </c>
      <c r="R426" s="384">
        <v>113667.6</v>
      </c>
    </row>
    <row r="427" spans="1:18" s="95" customFormat="1" ht="107.25" customHeight="1">
      <c r="A427" s="28" t="s">
        <v>971</v>
      </c>
      <c r="B427" s="747">
        <v>2100</v>
      </c>
      <c r="C427" s="747" t="s">
        <v>26</v>
      </c>
      <c r="D427" s="747" t="s">
        <v>26</v>
      </c>
      <c r="E427" s="747" t="s">
        <v>26</v>
      </c>
      <c r="F427" s="747" t="s">
        <v>26</v>
      </c>
      <c r="G427" s="747" t="s">
        <v>26</v>
      </c>
      <c r="H427" s="747" t="s">
        <v>26</v>
      </c>
      <c r="I427" s="747" t="s">
        <v>26</v>
      </c>
      <c r="J427" s="747" t="s">
        <v>26</v>
      </c>
      <c r="K427" s="747" t="s">
        <v>26</v>
      </c>
      <c r="L427" s="770"/>
      <c r="M427" s="747"/>
      <c r="N427" s="29">
        <f>N428+N433+N438</f>
        <v>378793.51799999998</v>
      </c>
      <c r="O427" s="29">
        <f t="shared" ref="O427:R427" si="65">O428+O433+O438</f>
        <v>358811.41800000006</v>
      </c>
      <c r="P427" s="29">
        <f t="shared" si="65"/>
        <v>232175.09700000001</v>
      </c>
      <c r="Q427" s="29">
        <f t="shared" si="65"/>
        <v>139049</v>
      </c>
      <c r="R427" s="29">
        <f t="shared" si="65"/>
        <v>137325.6</v>
      </c>
    </row>
    <row r="428" spans="1:18" s="95" customFormat="1" ht="36">
      <c r="A428" s="64" t="s">
        <v>1166</v>
      </c>
      <c r="B428" s="729">
        <v>2101</v>
      </c>
      <c r="C428" s="729"/>
      <c r="D428" s="729"/>
      <c r="E428" s="729"/>
      <c r="F428" s="729"/>
      <c r="G428" s="729"/>
      <c r="H428" s="729"/>
      <c r="I428" s="729"/>
      <c r="J428" s="729"/>
      <c r="K428" s="729"/>
      <c r="L428" s="729"/>
      <c r="M428" s="729"/>
      <c r="N428" s="81">
        <f t="shared" ref="N428:R428" si="66">SUM(N430:N432)</f>
        <v>61007.3</v>
      </c>
      <c r="O428" s="81">
        <f t="shared" si="66"/>
        <v>61007.3</v>
      </c>
      <c r="P428" s="81">
        <f t="shared" si="66"/>
        <v>61007.3</v>
      </c>
      <c r="Q428" s="81">
        <f t="shared" si="66"/>
        <v>59908.2</v>
      </c>
      <c r="R428" s="81">
        <f t="shared" si="66"/>
        <v>60011.5</v>
      </c>
    </row>
    <row r="429" spans="1:18" s="95" customFormat="1" ht="12">
      <c r="A429" s="56" t="s">
        <v>89</v>
      </c>
      <c r="B429" s="720"/>
      <c r="C429" s="720"/>
      <c r="D429" s="720"/>
      <c r="E429" s="720"/>
      <c r="F429" s="720"/>
      <c r="G429" s="720"/>
      <c r="H429" s="720"/>
      <c r="I429" s="720"/>
      <c r="J429" s="720"/>
      <c r="K429" s="720"/>
      <c r="L429" s="720"/>
      <c r="M429" s="720"/>
      <c r="N429" s="82"/>
      <c r="O429" s="82"/>
      <c r="P429" s="82"/>
      <c r="Q429" s="82"/>
      <c r="R429" s="82"/>
    </row>
    <row r="430" spans="1:18" s="94" customFormat="1" ht="119.25" customHeight="1">
      <c r="A430" s="35"/>
      <c r="B430" s="707" t="s">
        <v>482</v>
      </c>
      <c r="C430" s="20" t="s">
        <v>53</v>
      </c>
      <c r="D430" s="19" t="s">
        <v>283</v>
      </c>
      <c r="E430" s="20" t="s">
        <v>54</v>
      </c>
      <c r="F430" s="877" t="s">
        <v>199</v>
      </c>
      <c r="G430" s="20" t="s">
        <v>200</v>
      </c>
      <c r="H430" s="20" t="s">
        <v>196</v>
      </c>
      <c r="I430" s="20" t="s">
        <v>201</v>
      </c>
      <c r="J430" s="21" t="s">
        <v>66</v>
      </c>
      <c r="K430" s="21" t="s">
        <v>202</v>
      </c>
      <c r="L430" s="681" t="s">
        <v>24</v>
      </c>
      <c r="M430" s="681" t="s">
        <v>29</v>
      </c>
      <c r="N430" s="280">
        <v>61007.3</v>
      </c>
      <c r="O430" s="366">
        <v>61007.3</v>
      </c>
      <c r="P430" s="280">
        <v>61007.3</v>
      </c>
      <c r="Q430" s="132">
        <v>59908.2</v>
      </c>
      <c r="R430" s="132">
        <v>60011.5</v>
      </c>
    </row>
    <row r="431" spans="1:18" s="94" customFormat="1" ht="15.75" hidden="1" customHeight="1">
      <c r="A431" s="412"/>
      <c r="B431" s="413"/>
      <c r="C431" s="714"/>
      <c r="D431" s="696"/>
      <c r="E431" s="714"/>
      <c r="F431" s="878"/>
      <c r="G431" s="714"/>
      <c r="H431" s="714"/>
      <c r="I431" s="833" t="s">
        <v>856</v>
      </c>
      <c r="J431" s="585"/>
      <c r="K431" s="833" t="s">
        <v>285</v>
      </c>
      <c r="L431" s="736"/>
      <c r="M431" s="736"/>
      <c r="N431" s="366"/>
      <c r="O431" s="366"/>
      <c r="P431" s="366"/>
      <c r="Q431" s="132"/>
      <c r="R431" s="132"/>
    </row>
    <row r="432" spans="1:18" s="94" customFormat="1" ht="48">
      <c r="A432" s="35"/>
      <c r="B432" s="681"/>
      <c r="C432" s="19"/>
      <c r="D432" s="19"/>
      <c r="E432" s="19"/>
      <c r="F432" s="19" t="s">
        <v>706</v>
      </c>
      <c r="G432" s="19" t="s">
        <v>284</v>
      </c>
      <c r="H432" s="19" t="s">
        <v>60</v>
      </c>
      <c r="I432" s="834"/>
      <c r="J432" s="19" t="s">
        <v>180</v>
      </c>
      <c r="K432" s="834"/>
      <c r="L432" s="688"/>
      <c r="M432" s="688"/>
      <c r="N432" s="48"/>
      <c r="O432" s="367"/>
      <c r="P432" s="281"/>
      <c r="Q432" s="134"/>
      <c r="R432" s="134"/>
    </row>
    <row r="433" spans="1:18" s="95" customFormat="1" ht="144">
      <c r="A433" s="28" t="s">
        <v>1167</v>
      </c>
      <c r="B433" s="747">
        <v>2105</v>
      </c>
      <c r="C433" s="747" t="s">
        <v>26</v>
      </c>
      <c r="D433" s="747" t="s">
        <v>26</v>
      </c>
      <c r="E433" s="747" t="s">
        <v>26</v>
      </c>
      <c r="F433" s="747" t="s">
        <v>26</v>
      </c>
      <c r="G433" s="747" t="s">
        <v>26</v>
      </c>
      <c r="H433" s="747" t="s">
        <v>26</v>
      </c>
      <c r="I433" s="747" t="s">
        <v>26</v>
      </c>
      <c r="J433" s="747" t="s">
        <v>26</v>
      </c>
      <c r="K433" s="747" t="s">
        <v>26</v>
      </c>
      <c r="L433" s="747"/>
      <c r="M433" s="747"/>
      <c r="N433" s="29">
        <f>SUM(N434:N436)</f>
        <v>20860.720999999998</v>
      </c>
      <c r="O433" s="29">
        <f t="shared" ref="O433:R433" si="67">SUM(O434:O436)</f>
        <v>18192.123</v>
      </c>
      <c r="P433" s="29">
        <f t="shared" si="67"/>
        <v>11404.111999999999</v>
      </c>
      <c r="Q433" s="29">
        <f t="shared" si="67"/>
        <v>1828.4</v>
      </c>
      <c r="R433" s="29">
        <f t="shared" si="67"/>
        <v>1896.1</v>
      </c>
    </row>
    <row r="434" spans="1:18" s="94" customFormat="1" ht="84.75" customHeight="1">
      <c r="A434" s="42" t="s">
        <v>1168</v>
      </c>
      <c r="B434" s="680" t="s">
        <v>829</v>
      </c>
      <c r="C434" s="744" t="s">
        <v>286</v>
      </c>
      <c r="D434" s="744" t="s">
        <v>287</v>
      </c>
      <c r="E434" s="744" t="s">
        <v>288</v>
      </c>
      <c r="F434" s="874" t="s">
        <v>867</v>
      </c>
      <c r="G434" s="744" t="s">
        <v>866</v>
      </c>
      <c r="H434" s="744" t="s">
        <v>770</v>
      </c>
      <c r="I434" s="680" t="s">
        <v>1432</v>
      </c>
      <c r="J434" s="42" t="s">
        <v>64</v>
      </c>
      <c r="K434" s="680" t="s">
        <v>770</v>
      </c>
      <c r="L434" s="680" t="s">
        <v>33</v>
      </c>
      <c r="M434" s="680" t="s">
        <v>38</v>
      </c>
      <c r="N434" s="279">
        <v>1523.8</v>
      </c>
      <c r="O434" s="400">
        <v>1523.8</v>
      </c>
      <c r="P434" s="294">
        <v>1745.3</v>
      </c>
      <c r="Q434" s="295">
        <v>1828.4</v>
      </c>
      <c r="R434" s="295">
        <v>1896.1</v>
      </c>
    </row>
    <row r="435" spans="1:18" s="94" customFormat="1" ht="96.75" customHeight="1">
      <c r="A435" s="38"/>
      <c r="B435" s="688"/>
      <c r="C435" s="755"/>
      <c r="D435" s="755"/>
      <c r="E435" s="755"/>
      <c r="F435" s="875"/>
      <c r="G435" s="755"/>
      <c r="H435" s="755"/>
      <c r="I435" s="688" t="s">
        <v>1470</v>
      </c>
      <c r="J435" s="38" t="s">
        <v>64</v>
      </c>
      <c r="K435" s="688" t="s">
        <v>770</v>
      </c>
      <c r="L435" s="688"/>
      <c r="M435" s="688"/>
      <c r="N435" s="281"/>
      <c r="O435" s="392"/>
      <c r="P435" s="285"/>
      <c r="Q435" s="260"/>
      <c r="R435" s="260"/>
    </row>
    <row r="436" spans="1:18" s="94" customFormat="1" ht="79.5" customHeight="1">
      <c r="A436" s="35" t="s">
        <v>556</v>
      </c>
      <c r="B436" s="681" t="s">
        <v>830</v>
      </c>
      <c r="C436" s="826" t="s">
        <v>170</v>
      </c>
      <c r="D436" s="826" t="s">
        <v>211</v>
      </c>
      <c r="E436" s="826" t="s">
        <v>172</v>
      </c>
      <c r="F436" s="826" t="s">
        <v>894</v>
      </c>
      <c r="G436" s="826" t="s">
        <v>64</v>
      </c>
      <c r="H436" s="965" t="s">
        <v>63</v>
      </c>
      <c r="I436" s="496" t="s">
        <v>1500</v>
      </c>
      <c r="J436" s="496" t="s">
        <v>64</v>
      </c>
      <c r="K436" s="496" t="s">
        <v>893</v>
      </c>
      <c r="L436" s="719" t="s">
        <v>20</v>
      </c>
      <c r="M436" s="719" t="s">
        <v>34</v>
      </c>
      <c r="N436" s="37">
        <f>6657.166+8873.726+494.782+3311.247</f>
        <v>19336.920999999998</v>
      </c>
      <c r="O436" s="369">
        <f>3994.3+8867.994+494.782+3311.247</f>
        <v>16668.323</v>
      </c>
      <c r="P436" s="37">
        <f>5362.5+3049.645+162.067+1084.6</f>
        <v>9658.8119999999999</v>
      </c>
      <c r="Q436" s="37">
        <v>0</v>
      </c>
      <c r="R436" s="37">
        <v>0</v>
      </c>
    </row>
    <row r="437" spans="1:18" s="94" customFormat="1" ht="89.25" customHeight="1">
      <c r="A437" s="38"/>
      <c r="B437" s="688"/>
      <c r="C437" s="827"/>
      <c r="D437" s="827"/>
      <c r="E437" s="827"/>
      <c r="F437" s="827"/>
      <c r="G437" s="827"/>
      <c r="H437" s="966"/>
      <c r="I437" s="497" t="s">
        <v>1437</v>
      </c>
      <c r="J437" s="497" t="s">
        <v>64</v>
      </c>
      <c r="K437" s="497" t="s">
        <v>1228</v>
      </c>
      <c r="L437" s="757"/>
      <c r="M437" s="757"/>
      <c r="N437" s="57"/>
      <c r="O437" s="57"/>
      <c r="P437" s="57"/>
      <c r="Q437" s="57"/>
      <c r="R437" s="57"/>
    </row>
    <row r="438" spans="1:18" s="95" customFormat="1" ht="24" customHeight="1">
      <c r="A438" s="28" t="s">
        <v>557</v>
      </c>
      <c r="B438" s="747">
        <v>2200</v>
      </c>
      <c r="C438" s="747" t="s">
        <v>26</v>
      </c>
      <c r="D438" s="747" t="s">
        <v>26</v>
      </c>
      <c r="E438" s="747" t="s">
        <v>26</v>
      </c>
      <c r="F438" s="747" t="s">
        <v>26</v>
      </c>
      <c r="G438" s="747" t="s">
        <v>26</v>
      </c>
      <c r="H438" s="747" t="s">
        <v>26</v>
      </c>
      <c r="I438" s="747" t="s">
        <v>26</v>
      </c>
      <c r="J438" s="747" t="s">
        <v>26</v>
      </c>
      <c r="K438" s="747" t="s">
        <v>26</v>
      </c>
      <c r="L438" s="748"/>
      <c r="M438" s="748"/>
      <c r="N438" s="46">
        <f t="shared" ref="N438:R438" si="68">N439</f>
        <v>296925.49699999997</v>
      </c>
      <c r="O438" s="46">
        <f t="shared" si="68"/>
        <v>279611.99500000005</v>
      </c>
      <c r="P438" s="46">
        <f t="shared" si="68"/>
        <v>159763.685</v>
      </c>
      <c r="Q438" s="46">
        <f t="shared" si="68"/>
        <v>77312.399999999994</v>
      </c>
      <c r="R438" s="46">
        <f t="shared" si="68"/>
        <v>75418</v>
      </c>
    </row>
    <row r="439" spans="1:18" s="95" customFormat="1" ht="36" customHeight="1">
      <c r="A439" s="28" t="s">
        <v>558</v>
      </c>
      <c r="B439" s="747">
        <v>2300</v>
      </c>
      <c r="C439" s="747" t="s">
        <v>26</v>
      </c>
      <c r="D439" s="747" t="s">
        <v>26</v>
      </c>
      <c r="E439" s="747" t="s">
        <v>26</v>
      </c>
      <c r="F439" s="747" t="s">
        <v>26</v>
      </c>
      <c r="G439" s="747" t="s">
        <v>26</v>
      </c>
      <c r="H439" s="747" t="s">
        <v>26</v>
      </c>
      <c r="I439" s="747" t="s">
        <v>26</v>
      </c>
      <c r="J439" s="747" t="s">
        <v>26</v>
      </c>
      <c r="K439" s="747" t="s">
        <v>26</v>
      </c>
      <c r="L439" s="747"/>
      <c r="M439" s="747"/>
      <c r="N439" s="29">
        <f>N440+N442+N469+N475+N480+N483+N487+N491+N496+N497+N500+N501+N503+N514+N517+N544+N545+N546+N548+N552+N554+N550+N555+N558+N560</f>
        <v>296925.49699999997</v>
      </c>
      <c r="O439" s="29">
        <f>O440+O442+O469+O475+O480+O483+O487+O491+O496+O497+O500+O501+O503+O514+O517+O544+O545+O546+O548+O552+O554+O550+O555+O558+O560</f>
        <v>279611.99500000005</v>
      </c>
      <c r="P439" s="29">
        <f>P440+P442+P469+P475+P480+P483+P487+P491+P496+P497+P500+P501+P503+P514+P517+P544+P545+P546+P548+P552+P554+P550+P555+P558+P560</f>
        <v>159763.685</v>
      </c>
      <c r="Q439" s="29">
        <f>Q440+Q442+Q469+Q475+Q480+Q483+Q487+Q491+Q496+Q497+Q500+Q501+Q503+Q514+Q517+Q544+Q545+Q546+Q548+Q552+Q554+Q550+Q555+Q558+Q560</f>
        <v>77312.399999999994</v>
      </c>
      <c r="R439" s="29">
        <f>R440+R442+R469+R475+R480+R483+R487+R491+R496+R497+R500+R501+R503+R514+R517+R544+R545+R546+R548+R552+R554+R550+R555+R558+R560</f>
        <v>75418</v>
      </c>
    </row>
    <row r="440" spans="1:18" s="95" customFormat="1" ht="48" customHeight="1">
      <c r="A440" s="28" t="s">
        <v>559</v>
      </c>
      <c r="B440" s="747">
        <v>2301</v>
      </c>
      <c r="C440" s="28" t="s">
        <v>28</v>
      </c>
      <c r="D440" s="28" t="s">
        <v>28</v>
      </c>
      <c r="E440" s="28" t="s">
        <v>28</v>
      </c>
      <c r="F440" s="28" t="s">
        <v>28</v>
      </c>
      <c r="G440" s="28" t="s">
        <v>28</v>
      </c>
      <c r="H440" s="28" t="s">
        <v>28</v>
      </c>
      <c r="I440" s="22"/>
      <c r="J440" s="22"/>
      <c r="K440" s="23"/>
      <c r="L440" s="747"/>
      <c r="M440" s="747"/>
      <c r="N440" s="29">
        <f>SUM(N441:N441)</f>
        <v>69.86</v>
      </c>
      <c r="O440" s="29">
        <f>SUM(O441:O441)</f>
        <v>69.86</v>
      </c>
      <c r="P440" s="29">
        <f>SUM(P441:P441)</f>
        <v>0</v>
      </c>
      <c r="Q440" s="29">
        <f>SUM(Q441:Q441)</f>
        <v>0</v>
      </c>
      <c r="R440" s="29">
        <f>SUM(R441:R441)</f>
        <v>0</v>
      </c>
    </row>
    <row r="441" spans="1:18" s="94" customFormat="1" ht="60.75" customHeight="1">
      <c r="A441" s="277" t="s">
        <v>1342</v>
      </c>
      <c r="B441" s="553" t="s">
        <v>445</v>
      </c>
      <c r="C441" s="663"/>
      <c r="D441" s="663"/>
      <c r="E441" s="663"/>
      <c r="F441" s="504"/>
      <c r="G441" s="663"/>
      <c r="H441" s="663"/>
      <c r="I441" s="702" t="s">
        <v>1290</v>
      </c>
      <c r="J441" s="702" t="s">
        <v>64</v>
      </c>
      <c r="K441" s="713" t="s">
        <v>1291</v>
      </c>
      <c r="L441" s="553" t="s">
        <v>29</v>
      </c>
      <c r="M441" s="553" t="s">
        <v>34</v>
      </c>
      <c r="N441" s="87">
        <v>69.86</v>
      </c>
      <c r="O441" s="91">
        <v>69.86</v>
      </c>
      <c r="P441" s="193">
        <v>0</v>
      </c>
      <c r="Q441" s="193">
        <v>0</v>
      </c>
      <c r="R441" s="193">
        <v>0</v>
      </c>
    </row>
    <row r="442" spans="1:18" s="95" customFormat="1" ht="84.75" customHeight="1">
      <c r="A442" s="45" t="s">
        <v>560</v>
      </c>
      <c r="B442" s="748">
        <v>2302</v>
      </c>
      <c r="C442" s="45" t="s">
        <v>28</v>
      </c>
      <c r="D442" s="45" t="s">
        <v>28</v>
      </c>
      <c r="E442" s="45" t="s">
        <v>28</v>
      </c>
      <c r="F442" s="45" t="s">
        <v>28</v>
      </c>
      <c r="G442" s="45" t="s">
        <v>28</v>
      </c>
      <c r="H442" s="45" t="s">
        <v>28</v>
      </c>
      <c r="I442" s="45" t="s">
        <v>28</v>
      </c>
      <c r="J442" s="45" t="s">
        <v>28</v>
      </c>
      <c r="K442" s="45" t="s">
        <v>28</v>
      </c>
      <c r="L442" s="748"/>
      <c r="M442" s="748"/>
      <c r="N442" s="46">
        <f>SUM(N445:N468)</f>
        <v>68162.337</v>
      </c>
      <c r="O442" s="46">
        <f>SUM(O445:O468)</f>
        <v>66966.498000000007</v>
      </c>
      <c r="P442" s="46">
        <f>SUM(P445:P468)</f>
        <v>31722.267000000003</v>
      </c>
      <c r="Q442" s="46">
        <f>SUM(Q445:Q468)</f>
        <v>0</v>
      </c>
      <c r="R442" s="46">
        <f>SUM(R445:R468)</f>
        <v>0</v>
      </c>
    </row>
    <row r="443" spans="1:18" s="94" customFormat="1" ht="12">
      <c r="A443" s="28" t="s">
        <v>89</v>
      </c>
      <c r="B443" s="680"/>
      <c r="C443" s="42"/>
      <c r="D443" s="42"/>
      <c r="E443" s="42"/>
      <c r="F443" s="42"/>
      <c r="G443" s="79"/>
      <c r="H443" s="83"/>
      <c r="I443" s="83"/>
      <c r="J443" s="83"/>
      <c r="K443" s="83"/>
      <c r="L443" s="39"/>
      <c r="M443" s="680"/>
      <c r="N443" s="15"/>
      <c r="O443" s="365"/>
      <c r="P443" s="279"/>
      <c r="Q443" s="131"/>
      <c r="R443" s="131"/>
    </row>
    <row r="444" spans="1:18" s="94" customFormat="1" ht="24">
      <c r="A444" s="28" t="s">
        <v>561</v>
      </c>
      <c r="B444" s="680"/>
      <c r="C444" s="42"/>
      <c r="D444" s="42"/>
      <c r="E444" s="42"/>
      <c r="F444" s="42"/>
      <c r="G444" s="79"/>
      <c r="H444" s="83"/>
      <c r="I444" s="83"/>
      <c r="J444" s="83"/>
      <c r="K444" s="83"/>
      <c r="L444" s="39"/>
      <c r="M444" s="680"/>
      <c r="N444" s="15"/>
      <c r="O444" s="401"/>
      <c r="P444" s="79"/>
      <c r="Q444" s="135"/>
      <c r="R444" s="135"/>
    </row>
    <row r="445" spans="1:18" s="94" customFormat="1" ht="60">
      <c r="A445" s="454" t="s">
        <v>1347</v>
      </c>
      <c r="B445" s="361" t="s">
        <v>761</v>
      </c>
      <c r="C445" s="454"/>
      <c r="D445" s="454"/>
      <c r="E445" s="454"/>
      <c r="F445" s="454"/>
      <c r="G445" s="454"/>
      <c r="H445" s="454"/>
      <c r="I445" s="466" t="s">
        <v>1148</v>
      </c>
      <c r="J445" s="455" t="s">
        <v>64</v>
      </c>
      <c r="K445" s="456" t="s">
        <v>1130</v>
      </c>
      <c r="L445" s="361" t="s">
        <v>32</v>
      </c>
      <c r="M445" s="361" t="s">
        <v>33</v>
      </c>
      <c r="N445" s="362">
        <v>1377</v>
      </c>
      <c r="O445" s="436">
        <v>1377</v>
      </c>
      <c r="P445" s="436">
        <v>0</v>
      </c>
      <c r="Q445" s="436">
        <v>0</v>
      </c>
      <c r="R445" s="436">
        <v>0</v>
      </c>
    </row>
    <row r="446" spans="1:18" s="94" customFormat="1" ht="96">
      <c r="A446" s="454" t="s">
        <v>1348</v>
      </c>
      <c r="B446" s="361" t="s">
        <v>909</v>
      </c>
      <c r="C446" s="454"/>
      <c r="D446" s="454"/>
      <c r="E446" s="454"/>
      <c r="F446" s="454"/>
      <c r="G446" s="454"/>
      <c r="H446" s="454"/>
      <c r="I446" s="466" t="s">
        <v>1543</v>
      </c>
      <c r="J446" s="455" t="s">
        <v>64</v>
      </c>
      <c r="K446" s="456" t="s">
        <v>1544</v>
      </c>
      <c r="L446" s="361" t="s">
        <v>32</v>
      </c>
      <c r="M446" s="361" t="s">
        <v>33</v>
      </c>
      <c r="N446" s="362">
        <v>1500</v>
      </c>
      <c r="O446" s="436">
        <v>1500</v>
      </c>
      <c r="P446" s="436">
        <v>600</v>
      </c>
      <c r="Q446" s="436">
        <v>0</v>
      </c>
      <c r="R446" s="436">
        <v>0</v>
      </c>
    </row>
    <row r="447" spans="1:18" s="94" customFormat="1" ht="84">
      <c r="A447" s="818" t="s">
        <v>1349</v>
      </c>
      <c r="B447" s="803" t="s">
        <v>435</v>
      </c>
      <c r="C447" s="807"/>
      <c r="D447" s="807"/>
      <c r="E447" s="807"/>
      <c r="F447" s="807"/>
      <c r="G447" s="807"/>
      <c r="H447" s="807"/>
      <c r="I447" s="466" t="s">
        <v>1541</v>
      </c>
      <c r="J447" s="702" t="s">
        <v>64</v>
      </c>
      <c r="K447" s="713" t="s">
        <v>1542</v>
      </c>
      <c r="L447" s="803" t="s">
        <v>32</v>
      </c>
      <c r="M447" s="803" t="s">
        <v>33</v>
      </c>
      <c r="N447" s="805">
        <v>508.42500000000001</v>
      </c>
      <c r="O447" s="801">
        <v>508.42500000000001</v>
      </c>
      <c r="P447" s="801">
        <v>571.24699999999996</v>
      </c>
      <c r="Q447" s="801">
        <v>0</v>
      </c>
      <c r="R447" s="801">
        <v>0</v>
      </c>
    </row>
    <row r="448" spans="1:18" s="94" customFormat="1" ht="84">
      <c r="A448" s="819"/>
      <c r="B448" s="820"/>
      <c r="C448" s="808"/>
      <c r="D448" s="808"/>
      <c r="E448" s="808"/>
      <c r="F448" s="808"/>
      <c r="G448" s="808"/>
      <c r="H448" s="808"/>
      <c r="I448" s="466" t="s">
        <v>1539</v>
      </c>
      <c r="J448" s="702" t="s">
        <v>64</v>
      </c>
      <c r="K448" s="713" t="s">
        <v>1540</v>
      </c>
      <c r="L448" s="820"/>
      <c r="M448" s="820"/>
      <c r="N448" s="815"/>
      <c r="O448" s="816"/>
      <c r="P448" s="816"/>
      <c r="Q448" s="816"/>
      <c r="R448" s="816"/>
    </row>
    <row r="449" spans="1:18" s="94" customFormat="1" ht="60">
      <c r="A449" s="83" t="s">
        <v>1350</v>
      </c>
      <c r="B449" s="553" t="s">
        <v>1169</v>
      </c>
      <c r="C449" s="83"/>
      <c r="D449" s="83"/>
      <c r="E449" s="83"/>
      <c r="F449" s="83"/>
      <c r="G449" s="83"/>
      <c r="H449" s="83"/>
      <c r="I449" s="466" t="s">
        <v>1176</v>
      </c>
      <c r="J449" s="702" t="s">
        <v>64</v>
      </c>
      <c r="K449" s="713" t="s">
        <v>1175</v>
      </c>
      <c r="L449" s="553" t="s">
        <v>32</v>
      </c>
      <c r="M449" s="553" t="s">
        <v>33</v>
      </c>
      <c r="N449" s="87">
        <v>102</v>
      </c>
      <c r="O449" s="91">
        <v>102</v>
      </c>
      <c r="P449" s="91">
        <v>0</v>
      </c>
      <c r="Q449" s="91">
        <v>0</v>
      </c>
      <c r="R449" s="91">
        <v>0</v>
      </c>
    </row>
    <row r="450" spans="1:18" s="94" customFormat="1" ht="84" customHeight="1">
      <c r="A450" s="83" t="s">
        <v>1351</v>
      </c>
      <c r="B450" s="553" t="s">
        <v>435</v>
      </c>
      <c r="C450" s="83"/>
      <c r="D450" s="83"/>
      <c r="E450" s="83"/>
      <c r="F450" s="83"/>
      <c r="G450" s="83"/>
      <c r="H450" s="83"/>
      <c r="I450" s="466" t="s">
        <v>1292</v>
      </c>
      <c r="J450" s="702" t="s">
        <v>64</v>
      </c>
      <c r="K450" s="713" t="s">
        <v>1190</v>
      </c>
      <c r="L450" s="553" t="s">
        <v>32</v>
      </c>
      <c r="M450" s="553" t="s">
        <v>33</v>
      </c>
      <c r="N450" s="87">
        <v>1608.6569999999999</v>
      </c>
      <c r="O450" s="91">
        <v>1608.6559999999999</v>
      </c>
      <c r="P450" s="91">
        <v>0</v>
      </c>
      <c r="Q450" s="91">
        <v>0</v>
      </c>
      <c r="R450" s="91">
        <v>0</v>
      </c>
    </row>
    <row r="451" spans="1:18" s="94" customFormat="1" ht="72">
      <c r="A451" s="83" t="s">
        <v>1352</v>
      </c>
      <c r="B451" s="553" t="s">
        <v>914</v>
      </c>
      <c r="C451" s="83"/>
      <c r="D451" s="83"/>
      <c r="E451" s="83"/>
      <c r="F451" s="83"/>
      <c r="G451" s="83"/>
      <c r="H451" s="83"/>
      <c r="I451" s="466" t="s">
        <v>1189</v>
      </c>
      <c r="J451" s="702" t="s">
        <v>64</v>
      </c>
      <c r="K451" s="713" t="s">
        <v>1190</v>
      </c>
      <c r="L451" s="553" t="s">
        <v>32</v>
      </c>
      <c r="M451" s="553" t="s">
        <v>33</v>
      </c>
      <c r="N451" s="87">
        <v>1000</v>
      </c>
      <c r="O451" s="91">
        <v>950.93799999999999</v>
      </c>
      <c r="P451" s="91">
        <v>0</v>
      </c>
      <c r="Q451" s="91">
        <v>0</v>
      </c>
      <c r="R451" s="91">
        <v>0</v>
      </c>
    </row>
    <row r="452" spans="1:18" s="94" customFormat="1" ht="48">
      <c r="A452" s="83" t="s">
        <v>1353</v>
      </c>
      <c r="B452" s="553" t="s">
        <v>499</v>
      </c>
      <c r="C452" s="83"/>
      <c r="D452" s="83"/>
      <c r="E452" s="83"/>
      <c r="F452" s="83"/>
      <c r="G452" s="83"/>
      <c r="H452" s="83"/>
      <c r="I452" s="554" t="s">
        <v>1208</v>
      </c>
      <c r="J452" s="702" t="s">
        <v>64</v>
      </c>
      <c r="K452" s="713" t="s">
        <v>1207</v>
      </c>
      <c r="L452" s="553" t="s">
        <v>32</v>
      </c>
      <c r="M452" s="553" t="s">
        <v>33</v>
      </c>
      <c r="N452" s="87">
        <v>381</v>
      </c>
      <c r="O452" s="91">
        <v>380.72199999999998</v>
      </c>
      <c r="P452" s="91">
        <v>0</v>
      </c>
      <c r="Q452" s="91">
        <v>0</v>
      </c>
      <c r="R452" s="91">
        <v>0</v>
      </c>
    </row>
    <row r="453" spans="1:18" s="94" customFormat="1" ht="62.25" customHeight="1">
      <c r="A453" s="83" t="s">
        <v>1354</v>
      </c>
      <c r="B453" s="553" t="s">
        <v>500</v>
      </c>
      <c r="C453" s="83"/>
      <c r="D453" s="83"/>
      <c r="E453" s="83"/>
      <c r="F453" s="83"/>
      <c r="G453" s="83"/>
      <c r="H453" s="83"/>
      <c r="I453" s="687" t="s">
        <v>1293</v>
      </c>
      <c r="J453" s="702" t="s">
        <v>64</v>
      </c>
      <c r="K453" s="713" t="s">
        <v>1230</v>
      </c>
      <c r="L453" s="553" t="s">
        <v>32</v>
      </c>
      <c r="M453" s="553" t="s">
        <v>33</v>
      </c>
      <c r="N453" s="87">
        <v>2487.712</v>
      </c>
      <c r="O453" s="91">
        <v>2487.712</v>
      </c>
      <c r="P453" s="91">
        <v>0</v>
      </c>
      <c r="Q453" s="91">
        <v>0</v>
      </c>
      <c r="R453" s="91">
        <v>0</v>
      </c>
    </row>
    <row r="454" spans="1:18" s="94" customFormat="1" ht="96">
      <c r="A454" s="83" t="s">
        <v>1355</v>
      </c>
      <c r="B454" s="553" t="s">
        <v>446</v>
      </c>
      <c r="C454" s="83"/>
      <c r="D454" s="83"/>
      <c r="E454" s="83"/>
      <c r="F454" s="83"/>
      <c r="G454" s="83"/>
      <c r="H454" s="83"/>
      <c r="I454" s="687" t="s">
        <v>1250</v>
      </c>
      <c r="J454" s="702" t="s">
        <v>64</v>
      </c>
      <c r="K454" s="713" t="s">
        <v>1231</v>
      </c>
      <c r="L454" s="553" t="s">
        <v>32</v>
      </c>
      <c r="M454" s="553" t="s">
        <v>33</v>
      </c>
      <c r="N454" s="87">
        <v>617.70000000000005</v>
      </c>
      <c r="O454" s="91">
        <v>617.64</v>
      </c>
      <c r="P454" s="91">
        <v>0</v>
      </c>
      <c r="Q454" s="91">
        <v>0</v>
      </c>
      <c r="R454" s="91">
        <v>0</v>
      </c>
    </row>
    <row r="455" spans="1:18" s="94" customFormat="1" ht="72">
      <c r="A455" s="83" t="s">
        <v>1356</v>
      </c>
      <c r="B455" s="553" t="s">
        <v>501</v>
      </c>
      <c r="C455" s="83"/>
      <c r="D455" s="83"/>
      <c r="E455" s="83"/>
      <c r="F455" s="83"/>
      <c r="G455" s="83"/>
      <c r="H455" s="83"/>
      <c r="I455" s="687" t="s">
        <v>1327</v>
      </c>
      <c r="J455" s="702" t="s">
        <v>64</v>
      </c>
      <c r="K455" s="713" t="s">
        <v>1230</v>
      </c>
      <c r="L455" s="553" t="s">
        <v>32</v>
      </c>
      <c r="M455" s="553" t="s">
        <v>33</v>
      </c>
      <c r="N455" s="87">
        <v>1999.9829999999999</v>
      </c>
      <c r="O455" s="91">
        <v>1999.9829999999999</v>
      </c>
      <c r="P455" s="91">
        <v>0</v>
      </c>
      <c r="Q455" s="91">
        <v>0</v>
      </c>
      <c r="R455" s="91">
        <v>0</v>
      </c>
    </row>
    <row r="456" spans="1:18" s="94" customFormat="1" ht="60">
      <c r="A456" s="83" t="s">
        <v>1357</v>
      </c>
      <c r="B456" s="553" t="s">
        <v>451</v>
      </c>
      <c r="C456" s="83"/>
      <c r="D456" s="83"/>
      <c r="E456" s="83"/>
      <c r="F456" s="83"/>
      <c r="G456" s="83"/>
      <c r="H456" s="83"/>
      <c r="I456" s="466" t="s">
        <v>1310</v>
      </c>
      <c r="J456" s="702" t="s">
        <v>64</v>
      </c>
      <c r="K456" s="713" t="s">
        <v>1303</v>
      </c>
      <c r="L456" s="553" t="s">
        <v>32</v>
      </c>
      <c r="M456" s="553" t="s">
        <v>33</v>
      </c>
      <c r="N456" s="87">
        <v>300</v>
      </c>
      <c r="O456" s="91">
        <v>300</v>
      </c>
      <c r="P456" s="91">
        <v>0</v>
      </c>
      <c r="Q456" s="91">
        <v>0</v>
      </c>
      <c r="R456" s="91">
        <v>0</v>
      </c>
    </row>
    <row r="457" spans="1:18" s="94" customFormat="1" ht="84">
      <c r="A457" s="83" t="s">
        <v>1358</v>
      </c>
      <c r="B457" s="553" t="s">
        <v>1318</v>
      </c>
      <c r="C457" s="83"/>
      <c r="D457" s="83"/>
      <c r="E457" s="83"/>
      <c r="F457" s="83"/>
      <c r="G457" s="83"/>
      <c r="H457" s="83"/>
      <c r="I457" s="466" t="s">
        <v>1323</v>
      </c>
      <c r="J457" s="702" t="s">
        <v>64</v>
      </c>
      <c r="K457" s="713" t="s">
        <v>1324</v>
      </c>
      <c r="L457" s="553" t="s">
        <v>32</v>
      </c>
      <c r="M457" s="553" t="s">
        <v>33</v>
      </c>
      <c r="N457" s="87">
        <v>25000</v>
      </c>
      <c r="O457" s="91">
        <v>24239.940999999999</v>
      </c>
      <c r="P457" s="91">
        <v>0</v>
      </c>
      <c r="Q457" s="91">
        <v>0</v>
      </c>
      <c r="R457" s="91">
        <v>0</v>
      </c>
    </row>
    <row r="458" spans="1:18" s="94" customFormat="1" ht="48">
      <c r="A458" s="83" t="s">
        <v>1420</v>
      </c>
      <c r="B458" s="553" t="s">
        <v>1421</v>
      </c>
      <c r="C458" s="83"/>
      <c r="D458" s="83"/>
      <c r="E458" s="83"/>
      <c r="F458" s="83"/>
      <c r="G458" s="83"/>
      <c r="H458" s="83"/>
      <c r="I458" s="466" t="s">
        <v>1440</v>
      </c>
      <c r="J458" s="702" t="s">
        <v>64</v>
      </c>
      <c r="K458" s="713" t="s">
        <v>1439</v>
      </c>
      <c r="L458" s="553" t="s">
        <v>32</v>
      </c>
      <c r="M458" s="553" t="s">
        <v>33</v>
      </c>
      <c r="N458" s="87">
        <v>0</v>
      </c>
      <c r="O458" s="91">
        <v>0</v>
      </c>
      <c r="P458" s="91">
        <v>150</v>
      </c>
      <c r="Q458" s="91">
        <v>0</v>
      </c>
      <c r="R458" s="91">
        <v>0</v>
      </c>
    </row>
    <row r="459" spans="1:18" s="94" customFormat="1" ht="85.5" customHeight="1">
      <c r="A459" s="83" t="s">
        <v>1422</v>
      </c>
      <c r="B459" s="553" t="s">
        <v>473</v>
      </c>
      <c r="C459" s="83"/>
      <c r="D459" s="83"/>
      <c r="E459" s="83"/>
      <c r="F459" s="83"/>
      <c r="G459" s="83"/>
      <c r="H459" s="83"/>
      <c r="I459" s="466" t="s">
        <v>1536</v>
      </c>
      <c r="J459" s="702" t="s">
        <v>64</v>
      </c>
      <c r="K459" s="713" t="s">
        <v>1439</v>
      </c>
      <c r="L459" s="553" t="s">
        <v>32</v>
      </c>
      <c r="M459" s="553" t="s">
        <v>33</v>
      </c>
      <c r="N459" s="87">
        <v>0</v>
      </c>
      <c r="O459" s="91">
        <v>0</v>
      </c>
      <c r="P459" s="91">
        <v>683.22</v>
      </c>
      <c r="Q459" s="91">
        <v>0</v>
      </c>
      <c r="R459" s="91">
        <v>0</v>
      </c>
    </row>
    <row r="460" spans="1:18" s="95" customFormat="1" ht="24">
      <c r="A460" s="56" t="s">
        <v>562</v>
      </c>
      <c r="B460" s="682"/>
      <c r="C460" s="56"/>
      <c r="D460" s="56"/>
      <c r="E460" s="56"/>
      <c r="F460" s="56"/>
      <c r="G460" s="56"/>
      <c r="H460" s="56"/>
      <c r="I460" s="8"/>
      <c r="J460" s="8"/>
      <c r="K460" s="9"/>
      <c r="L460" s="682"/>
      <c r="M460" s="682"/>
      <c r="N460" s="82"/>
      <c r="O460" s="56"/>
      <c r="P460" s="56"/>
      <c r="Q460" s="56"/>
      <c r="R460" s="56"/>
    </row>
    <row r="461" spans="1:18" s="94" customFormat="1" ht="55.5" customHeight="1">
      <c r="A461" s="985" t="s">
        <v>563</v>
      </c>
      <c r="B461" s="547" t="s">
        <v>707</v>
      </c>
      <c r="C461" s="771"/>
      <c r="D461" s="771"/>
      <c r="E461" s="771"/>
      <c r="F461" s="839" t="s">
        <v>802</v>
      </c>
      <c r="G461" s="839" t="s">
        <v>803</v>
      </c>
      <c r="H461" s="839" t="s">
        <v>810</v>
      </c>
      <c r="I461" s="839" t="s">
        <v>1431</v>
      </c>
      <c r="J461" s="839" t="s">
        <v>64</v>
      </c>
      <c r="K461" s="839" t="s">
        <v>767</v>
      </c>
      <c r="L461" s="773" t="s">
        <v>32</v>
      </c>
      <c r="M461" s="773" t="s">
        <v>33</v>
      </c>
      <c r="N461" s="505">
        <v>27420.725999999999</v>
      </c>
      <c r="O461" s="516">
        <v>27034.347000000002</v>
      </c>
      <c r="P461" s="516">
        <v>26122.400000000001</v>
      </c>
      <c r="Q461" s="516">
        <v>0</v>
      </c>
      <c r="R461" s="548">
        <v>0</v>
      </c>
    </row>
    <row r="462" spans="1:18" s="94" customFormat="1" ht="49.5" customHeight="1">
      <c r="A462" s="986"/>
      <c r="B462" s="684" t="s">
        <v>1319</v>
      </c>
      <c r="C462" s="457"/>
      <c r="D462" s="457"/>
      <c r="E462" s="457"/>
      <c r="F462" s="840"/>
      <c r="G462" s="840"/>
      <c r="H462" s="840"/>
      <c r="I462" s="840"/>
      <c r="J462" s="840"/>
      <c r="K462" s="840"/>
      <c r="L462" s="684"/>
      <c r="M462" s="684"/>
      <c r="N462" s="445">
        <v>448.97399999999999</v>
      </c>
      <c r="O462" s="459">
        <v>448.97399999999999</v>
      </c>
      <c r="P462" s="459"/>
      <c r="Q462" s="459"/>
      <c r="R462" s="459"/>
    </row>
    <row r="463" spans="1:18" s="94" customFormat="1" ht="84">
      <c r="A463" s="818" t="s">
        <v>1359</v>
      </c>
      <c r="B463" s="803" t="s">
        <v>450</v>
      </c>
      <c r="C463" s="807"/>
      <c r="D463" s="807"/>
      <c r="E463" s="807"/>
      <c r="F463" s="807" t="s">
        <v>1112</v>
      </c>
      <c r="G463" s="807" t="s">
        <v>804</v>
      </c>
      <c r="H463" s="807" t="s">
        <v>810</v>
      </c>
      <c r="I463" s="466" t="s">
        <v>1541</v>
      </c>
      <c r="J463" s="702" t="s">
        <v>64</v>
      </c>
      <c r="K463" s="713" t="s">
        <v>1542</v>
      </c>
      <c r="L463" s="803" t="s">
        <v>32</v>
      </c>
      <c r="M463" s="803" t="s">
        <v>33</v>
      </c>
      <c r="N463" s="805">
        <v>3200</v>
      </c>
      <c r="O463" s="801">
        <v>3200</v>
      </c>
      <c r="P463" s="801">
        <v>3595.4</v>
      </c>
      <c r="Q463" s="801">
        <v>0</v>
      </c>
      <c r="R463" s="801">
        <v>0</v>
      </c>
    </row>
    <row r="464" spans="1:18" s="94" customFormat="1" ht="84">
      <c r="A464" s="819"/>
      <c r="B464" s="820"/>
      <c r="C464" s="808"/>
      <c r="D464" s="808"/>
      <c r="E464" s="808"/>
      <c r="F464" s="808"/>
      <c r="G464" s="808"/>
      <c r="H464" s="808"/>
      <c r="I464" s="466" t="s">
        <v>1539</v>
      </c>
      <c r="J464" s="702" t="s">
        <v>64</v>
      </c>
      <c r="K464" s="713" t="s">
        <v>1540</v>
      </c>
      <c r="L464" s="820"/>
      <c r="M464" s="820"/>
      <c r="N464" s="815"/>
      <c r="O464" s="816"/>
      <c r="P464" s="816"/>
      <c r="Q464" s="816"/>
      <c r="R464" s="816"/>
    </row>
    <row r="465" spans="1:18" s="94" customFormat="1" ht="48.75" customHeight="1">
      <c r="A465" s="818" t="s">
        <v>1360</v>
      </c>
      <c r="B465" s="803" t="s">
        <v>419</v>
      </c>
      <c r="C465" s="807"/>
      <c r="D465" s="807"/>
      <c r="E465" s="807"/>
      <c r="F465" s="807" t="s">
        <v>461</v>
      </c>
      <c r="G465" s="807" t="s">
        <v>695</v>
      </c>
      <c r="H465" s="807" t="s">
        <v>462</v>
      </c>
      <c r="I465" s="455" t="s">
        <v>1141</v>
      </c>
      <c r="J465" s="455" t="s">
        <v>64</v>
      </c>
      <c r="K465" s="456" t="s">
        <v>1142</v>
      </c>
      <c r="L465" s="803" t="s">
        <v>32</v>
      </c>
      <c r="M465" s="803" t="s">
        <v>33</v>
      </c>
      <c r="N465" s="805">
        <v>82.3</v>
      </c>
      <c r="O465" s="801">
        <v>82.3</v>
      </c>
      <c r="P465" s="801">
        <v>0</v>
      </c>
      <c r="Q465" s="801">
        <v>0</v>
      </c>
      <c r="R465" s="801">
        <v>0</v>
      </c>
    </row>
    <row r="466" spans="1:18" s="94" customFormat="1" ht="73.5" customHeight="1">
      <c r="A466" s="819"/>
      <c r="B466" s="820"/>
      <c r="C466" s="808"/>
      <c r="D466" s="808"/>
      <c r="E466" s="808"/>
      <c r="F466" s="808"/>
      <c r="G466" s="808"/>
      <c r="H466" s="808"/>
      <c r="I466" s="702" t="s">
        <v>1146</v>
      </c>
      <c r="J466" s="702" t="s">
        <v>64</v>
      </c>
      <c r="K466" s="713" t="s">
        <v>1144</v>
      </c>
      <c r="L466" s="820"/>
      <c r="M466" s="820"/>
      <c r="N466" s="815"/>
      <c r="O466" s="816"/>
      <c r="P466" s="816"/>
      <c r="Q466" s="816"/>
      <c r="R466" s="816"/>
    </row>
    <row r="467" spans="1:18" s="94" customFormat="1" ht="71.25" customHeight="1">
      <c r="A467" s="994" t="s">
        <v>1361</v>
      </c>
      <c r="B467" s="813" t="s">
        <v>865</v>
      </c>
      <c r="C467" s="809"/>
      <c r="D467" s="809"/>
      <c r="E467" s="809"/>
      <c r="F467" s="809" t="s">
        <v>461</v>
      </c>
      <c r="G467" s="809" t="s">
        <v>695</v>
      </c>
      <c r="H467" s="809" t="s">
        <v>462</v>
      </c>
      <c r="I467" s="511" t="s">
        <v>1257</v>
      </c>
      <c r="J467" s="511" t="s">
        <v>64</v>
      </c>
      <c r="K467" s="512" t="s">
        <v>1258</v>
      </c>
      <c r="L467" s="813" t="s">
        <v>32</v>
      </c>
      <c r="M467" s="813" t="s">
        <v>33</v>
      </c>
      <c r="N467" s="814">
        <v>127.86</v>
      </c>
      <c r="O467" s="812">
        <v>127.86</v>
      </c>
      <c r="P467" s="812">
        <v>0</v>
      </c>
      <c r="Q467" s="812">
        <v>0</v>
      </c>
      <c r="R467" s="812">
        <v>0</v>
      </c>
    </row>
    <row r="468" spans="1:18" s="94" customFormat="1" ht="49.5" customHeight="1">
      <c r="A468" s="994"/>
      <c r="B468" s="813"/>
      <c r="C468" s="809"/>
      <c r="D468" s="809"/>
      <c r="E468" s="809"/>
      <c r="F468" s="809"/>
      <c r="G468" s="809"/>
      <c r="H468" s="809"/>
      <c r="I468" s="511" t="s">
        <v>1260</v>
      </c>
      <c r="J468" s="511" t="s">
        <v>64</v>
      </c>
      <c r="K468" s="512" t="s">
        <v>1261</v>
      </c>
      <c r="L468" s="813"/>
      <c r="M468" s="813"/>
      <c r="N468" s="814"/>
      <c r="O468" s="812"/>
      <c r="P468" s="812"/>
      <c r="Q468" s="812"/>
      <c r="R468" s="812"/>
    </row>
    <row r="469" spans="1:18" s="95" customFormat="1" ht="206.25" customHeight="1">
      <c r="A469" s="45" t="s">
        <v>564</v>
      </c>
      <c r="B469" s="748">
        <v>2304</v>
      </c>
      <c r="C469" s="45" t="s">
        <v>28</v>
      </c>
      <c r="D469" s="45" t="s">
        <v>28</v>
      </c>
      <c r="E469" s="45" t="s">
        <v>28</v>
      </c>
      <c r="F469" s="45" t="s">
        <v>28</v>
      </c>
      <c r="G469" s="45" t="s">
        <v>28</v>
      </c>
      <c r="H469" s="45" t="s">
        <v>28</v>
      </c>
      <c r="I469" s="45" t="s">
        <v>28</v>
      </c>
      <c r="J469" s="45" t="s">
        <v>28</v>
      </c>
      <c r="K469" s="45" t="s">
        <v>28</v>
      </c>
      <c r="L469" s="500"/>
      <c r="M469" s="500"/>
      <c r="N469" s="46">
        <f>SUM(N470:N474)</f>
        <v>51053.65</v>
      </c>
      <c r="O469" s="46">
        <f>SUM(O470:O474)</f>
        <v>49703.874000000003</v>
      </c>
      <c r="P469" s="46">
        <f>SUM(P470:P474)</f>
        <v>15581.6</v>
      </c>
      <c r="Q469" s="46">
        <f>SUM(Q470:Q474)</f>
        <v>0</v>
      </c>
      <c r="R469" s="46">
        <f>SUM(R470:R474)</f>
        <v>0</v>
      </c>
    </row>
    <row r="470" spans="1:18" s="94" customFormat="1" ht="96">
      <c r="A470" s="42" t="s">
        <v>875</v>
      </c>
      <c r="B470" s="706" t="s">
        <v>290</v>
      </c>
      <c r="C470" s="42"/>
      <c r="D470" s="42"/>
      <c r="E470" s="42"/>
      <c r="F470" s="42"/>
      <c r="G470" s="42"/>
      <c r="H470" s="42"/>
      <c r="I470" s="247" t="s">
        <v>1438</v>
      </c>
      <c r="J470" s="744" t="s">
        <v>64</v>
      </c>
      <c r="K470" s="744" t="s">
        <v>1384</v>
      </c>
      <c r="L470" s="61" t="s">
        <v>34</v>
      </c>
      <c r="M470" s="706" t="s">
        <v>35</v>
      </c>
      <c r="N470" s="279">
        <v>6795.3</v>
      </c>
      <c r="O470" s="365">
        <v>6795.3</v>
      </c>
      <c r="P470" s="279">
        <v>15581.6</v>
      </c>
      <c r="Q470" s="131">
        <v>0</v>
      </c>
      <c r="R470" s="131">
        <v>0</v>
      </c>
    </row>
    <row r="471" spans="1:18" s="94" customFormat="1" ht="84" customHeight="1">
      <c r="A471" s="38"/>
      <c r="B471" s="58"/>
      <c r="C471" s="38"/>
      <c r="D471" s="38"/>
      <c r="E471" s="38"/>
      <c r="F471" s="35"/>
      <c r="G471" s="35"/>
      <c r="H471" s="35"/>
      <c r="I471" s="223" t="s">
        <v>863</v>
      </c>
      <c r="J471" s="755" t="s">
        <v>64</v>
      </c>
      <c r="K471" s="755" t="s">
        <v>73</v>
      </c>
      <c r="L471" s="688"/>
      <c r="M471" s="688"/>
      <c r="N471" s="281"/>
      <c r="O471" s="367"/>
      <c r="P471" s="281"/>
      <c r="Q471" s="134"/>
      <c r="R471" s="134"/>
    </row>
    <row r="472" spans="1:18" s="94" customFormat="1" ht="83.25" customHeight="1">
      <c r="A472" s="987" t="s">
        <v>876</v>
      </c>
      <c r="B472" s="550" t="s">
        <v>474</v>
      </c>
      <c r="C472" s="36"/>
      <c r="D472" s="36"/>
      <c r="E472" s="36"/>
      <c r="F472" s="782" t="s">
        <v>805</v>
      </c>
      <c r="G472" s="782" t="s">
        <v>806</v>
      </c>
      <c r="H472" s="782" t="s">
        <v>810</v>
      </c>
      <c r="I472" s="523" t="s">
        <v>1328</v>
      </c>
      <c r="J472" s="523" t="s">
        <v>64</v>
      </c>
      <c r="K472" s="523" t="s">
        <v>1137</v>
      </c>
      <c r="L472" s="61" t="s">
        <v>34</v>
      </c>
      <c r="M472" s="706" t="s">
        <v>35</v>
      </c>
      <c r="N472" s="15">
        <v>40854.67</v>
      </c>
      <c r="O472" s="357">
        <v>39572.381000000001</v>
      </c>
      <c r="P472" s="15">
        <v>0</v>
      </c>
      <c r="Q472" s="15">
        <v>0</v>
      </c>
      <c r="R472" s="15">
        <v>0</v>
      </c>
    </row>
    <row r="473" spans="1:18" s="94" customFormat="1" ht="72" customHeight="1">
      <c r="A473" s="822"/>
      <c r="B473" s="553" t="s">
        <v>434</v>
      </c>
      <c r="C473" s="757"/>
      <c r="D473" s="757"/>
      <c r="E473" s="757"/>
      <c r="F473" s="782"/>
      <c r="G473" s="782"/>
      <c r="H473" s="782"/>
      <c r="I473" s="695" t="s">
        <v>1326</v>
      </c>
      <c r="J473" s="292" t="s">
        <v>64</v>
      </c>
      <c r="K473" s="695" t="s">
        <v>905</v>
      </c>
      <c r="L473" s="553" t="s">
        <v>34</v>
      </c>
      <c r="M473" s="553" t="s">
        <v>35</v>
      </c>
      <c r="N473" s="87">
        <v>2150.2399999999998</v>
      </c>
      <c r="O473" s="87">
        <v>2082.7570000000001</v>
      </c>
      <c r="P473" s="15">
        <v>0</v>
      </c>
      <c r="Q473" s="15">
        <v>0</v>
      </c>
      <c r="R473" s="15">
        <v>0</v>
      </c>
    </row>
    <row r="474" spans="1:18" s="94" customFormat="1" ht="48">
      <c r="A474" s="604" t="s">
        <v>1362</v>
      </c>
      <c r="B474" s="605" t="s">
        <v>909</v>
      </c>
      <c r="C474" s="606"/>
      <c r="D474" s="606"/>
      <c r="E474" s="606"/>
      <c r="F474" s="606"/>
      <c r="G474" s="606"/>
      <c r="H474" s="606"/>
      <c r="I474" s="607" t="s">
        <v>1191</v>
      </c>
      <c r="J474" s="607" t="s">
        <v>64</v>
      </c>
      <c r="K474" s="607" t="s">
        <v>1190</v>
      </c>
      <c r="L474" s="605" t="s">
        <v>34</v>
      </c>
      <c r="M474" s="605" t="s">
        <v>35</v>
      </c>
      <c r="N474" s="608">
        <v>1253.44</v>
      </c>
      <c r="O474" s="608">
        <v>1253.4359999999999</v>
      </c>
      <c r="P474" s="608">
        <v>0</v>
      </c>
      <c r="Q474" s="608">
        <v>0</v>
      </c>
      <c r="R474" s="608">
        <v>0</v>
      </c>
    </row>
    <row r="475" spans="1:18" s="95" customFormat="1" ht="146.25" customHeight="1" thickBot="1">
      <c r="A475" s="335" t="s">
        <v>950</v>
      </c>
      <c r="B475" s="232" t="s">
        <v>565</v>
      </c>
      <c r="C475" s="45"/>
      <c r="D475" s="45"/>
      <c r="E475" s="45"/>
      <c r="F475" s="45"/>
      <c r="G475" s="45"/>
      <c r="H475" s="40"/>
      <c r="I475" s="25"/>
      <c r="J475" s="25"/>
      <c r="K475" s="25"/>
      <c r="L475" s="50"/>
      <c r="M475" s="748"/>
      <c r="N475" s="46">
        <f>SUM(N476:N479)</f>
        <v>17396.11</v>
      </c>
      <c r="O475" s="46">
        <f t="shared" ref="O475:R475" si="69">SUM(O476:O479)</f>
        <v>3347.52</v>
      </c>
      <c r="P475" s="46">
        <f t="shared" si="69"/>
        <v>13954.692000000001</v>
      </c>
      <c r="Q475" s="46">
        <f t="shared" si="69"/>
        <v>0</v>
      </c>
      <c r="R475" s="46">
        <f t="shared" si="69"/>
        <v>0</v>
      </c>
    </row>
    <row r="476" spans="1:18" s="94" customFormat="1" ht="60">
      <c r="A476" s="84" t="s">
        <v>887</v>
      </c>
      <c r="B476" s="550" t="s">
        <v>443</v>
      </c>
      <c r="C476" s="84"/>
      <c r="D476" s="84"/>
      <c r="E476" s="84"/>
      <c r="F476" s="84"/>
      <c r="G476" s="84"/>
      <c r="H476" s="84"/>
      <c r="I476" s="513" t="s">
        <v>1251</v>
      </c>
      <c r="J476" s="504" t="s">
        <v>64</v>
      </c>
      <c r="K476" s="504" t="s">
        <v>1274</v>
      </c>
      <c r="L476" s="553" t="s">
        <v>32</v>
      </c>
      <c r="M476" s="553" t="s">
        <v>29</v>
      </c>
      <c r="N476" s="192">
        <v>329.52</v>
      </c>
      <c r="O476" s="399">
        <v>329.52</v>
      </c>
      <c r="P476" s="192">
        <v>0</v>
      </c>
      <c r="Q476" s="192">
        <v>0</v>
      </c>
      <c r="R476" s="192">
        <v>0</v>
      </c>
    </row>
    <row r="477" spans="1:18" s="94" customFormat="1" ht="46.5" customHeight="1">
      <c r="A477" s="42" t="s">
        <v>915</v>
      </c>
      <c r="B477" s="706" t="s">
        <v>293</v>
      </c>
      <c r="C477" s="810" t="s">
        <v>338</v>
      </c>
      <c r="D477" s="810" t="s">
        <v>171</v>
      </c>
      <c r="E477" s="810" t="s">
        <v>172</v>
      </c>
      <c r="F477" s="810" t="s">
        <v>891</v>
      </c>
      <c r="G477" s="810" t="s">
        <v>64</v>
      </c>
      <c r="H477" s="870" t="s">
        <v>892</v>
      </c>
      <c r="I477" s="263" t="s">
        <v>1275</v>
      </c>
      <c r="J477" s="733" t="s">
        <v>64</v>
      </c>
      <c r="K477" s="733" t="s">
        <v>831</v>
      </c>
      <c r="L477" s="552" t="s">
        <v>20</v>
      </c>
      <c r="M477" s="552" t="s">
        <v>34</v>
      </c>
      <c r="N477" s="52">
        <v>7325.93</v>
      </c>
      <c r="O477" s="364">
        <v>582.83399999999995</v>
      </c>
      <c r="P477" s="52">
        <v>914.75400000000002</v>
      </c>
      <c r="Q477" s="52">
        <v>0</v>
      </c>
      <c r="R477" s="52">
        <v>0</v>
      </c>
    </row>
    <row r="478" spans="1:18" s="94" customFormat="1" ht="47.25" customHeight="1">
      <c r="A478" s="35"/>
      <c r="B478" s="707"/>
      <c r="C478" s="811"/>
      <c r="D478" s="811"/>
      <c r="E478" s="811"/>
      <c r="F478" s="811"/>
      <c r="G478" s="811"/>
      <c r="H478" s="871"/>
      <c r="I478" s="265" t="s">
        <v>835</v>
      </c>
      <c r="J478" s="716" t="s">
        <v>64</v>
      </c>
      <c r="K478" s="716" t="s">
        <v>836</v>
      </c>
      <c r="L478" s="719"/>
      <c r="M478" s="719"/>
      <c r="N478" s="37"/>
      <c r="O478" s="369"/>
      <c r="P478" s="37"/>
      <c r="Q478" s="37"/>
      <c r="R478" s="37"/>
    </row>
    <row r="479" spans="1:18" s="94" customFormat="1" ht="86.25" customHeight="1">
      <c r="A479" s="35"/>
      <c r="B479" s="707" t="s">
        <v>1486</v>
      </c>
      <c r="C479" s="811"/>
      <c r="D479" s="811"/>
      <c r="E479" s="811"/>
      <c r="F479" s="811"/>
      <c r="G479" s="811"/>
      <c r="H479" s="872"/>
      <c r="I479" s="146" t="s">
        <v>890</v>
      </c>
      <c r="J479" s="716" t="s">
        <v>64</v>
      </c>
      <c r="K479" s="249" t="s">
        <v>769</v>
      </c>
      <c r="L479" s="681"/>
      <c r="M479" s="681"/>
      <c r="N479" s="279">
        <v>9740.66</v>
      </c>
      <c r="O479" s="365">
        <v>2435.1660000000002</v>
      </c>
      <c r="P479" s="279">
        <v>13039.938</v>
      </c>
      <c r="Q479" s="131">
        <v>0</v>
      </c>
      <c r="R479" s="131">
        <v>0</v>
      </c>
    </row>
    <row r="480" spans="1:18" s="94" customFormat="1" ht="15.75" customHeight="1">
      <c r="A480" s="990" t="s">
        <v>746</v>
      </c>
      <c r="B480" s="85" t="s">
        <v>566</v>
      </c>
      <c r="C480" s="80"/>
      <c r="D480" s="80"/>
      <c r="E480" s="80"/>
      <c r="F480" s="80"/>
      <c r="G480" s="80"/>
      <c r="H480" s="80"/>
      <c r="I480" s="663"/>
      <c r="J480" s="663"/>
      <c r="K480" s="663"/>
      <c r="L480" s="85" t="s">
        <v>34</v>
      </c>
      <c r="M480" s="85" t="s">
        <v>37</v>
      </c>
      <c r="N480" s="81">
        <f t="shared" ref="N480:R480" si="70">SUM(N481:N482)</f>
        <v>2000</v>
      </c>
      <c r="O480" s="81">
        <f t="shared" si="70"/>
        <v>2000</v>
      </c>
      <c r="P480" s="81">
        <f t="shared" si="70"/>
        <v>0</v>
      </c>
      <c r="Q480" s="81">
        <f t="shared" si="70"/>
        <v>0</v>
      </c>
      <c r="R480" s="81">
        <f t="shared" si="70"/>
        <v>0</v>
      </c>
    </row>
    <row r="481" spans="1:18" s="94" customFormat="1" ht="48.75" customHeight="1">
      <c r="A481" s="989"/>
      <c r="B481" s="124" t="s">
        <v>506</v>
      </c>
      <c r="C481" s="890"/>
      <c r="D481" s="890"/>
      <c r="E481" s="890"/>
      <c r="F481" s="782" t="s">
        <v>805</v>
      </c>
      <c r="G481" s="782" t="s">
        <v>807</v>
      </c>
      <c r="H481" s="782" t="s">
        <v>813</v>
      </c>
      <c r="I481" s="782" t="s">
        <v>1305</v>
      </c>
      <c r="J481" s="782" t="s">
        <v>64</v>
      </c>
      <c r="K481" s="782" t="s">
        <v>1306</v>
      </c>
      <c r="L481" s="817" t="s">
        <v>34</v>
      </c>
      <c r="M481" s="817" t="s">
        <v>37</v>
      </c>
      <c r="N481" s="87">
        <v>360</v>
      </c>
      <c r="O481" s="87">
        <v>360</v>
      </c>
      <c r="P481" s="87">
        <v>0</v>
      </c>
      <c r="Q481" s="87">
        <v>0</v>
      </c>
      <c r="R481" s="87">
        <v>0</v>
      </c>
    </row>
    <row r="482" spans="1:18" s="94" customFormat="1" ht="48" customHeight="1">
      <c r="A482" s="991"/>
      <c r="B482" s="269" t="s">
        <v>507</v>
      </c>
      <c r="C482" s="890"/>
      <c r="D482" s="890"/>
      <c r="E482" s="890"/>
      <c r="F482" s="782"/>
      <c r="G482" s="782"/>
      <c r="H482" s="782"/>
      <c r="I482" s="782"/>
      <c r="J482" s="782"/>
      <c r="K482" s="782"/>
      <c r="L482" s="817"/>
      <c r="M482" s="817"/>
      <c r="N482" s="289">
        <v>1640</v>
      </c>
      <c r="O482" s="289">
        <v>1640</v>
      </c>
      <c r="P482" s="289">
        <v>0</v>
      </c>
      <c r="Q482" s="289">
        <v>0</v>
      </c>
      <c r="R482" s="563">
        <v>0</v>
      </c>
    </row>
    <row r="483" spans="1:18" s="95" customFormat="1" ht="73.5" customHeight="1">
      <c r="A483" s="731" t="s">
        <v>977</v>
      </c>
      <c r="B483" s="682" t="s">
        <v>1487</v>
      </c>
      <c r="C483" s="720"/>
      <c r="D483" s="720"/>
      <c r="E483" s="720"/>
      <c r="F483" s="720"/>
      <c r="G483" s="720"/>
      <c r="H483" s="720"/>
      <c r="I483" s="663" t="s">
        <v>1504</v>
      </c>
      <c r="J483" s="663" t="s">
        <v>64</v>
      </c>
      <c r="K483" s="663" t="s">
        <v>1501</v>
      </c>
      <c r="L483" s="682" t="s">
        <v>34</v>
      </c>
      <c r="M483" s="682" t="s">
        <v>37</v>
      </c>
      <c r="N483" s="82">
        <v>43260</v>
      </c>
      <c r="O483" s="82">
        <v>43260</v>
      </c>
      <c r="P483" s="82">
        <v>6400</v>
      </c>
      <c r="Q483" s="82">
        <v>0</v>
      </c>
      <c r="R483" s="82">
        <v>0</v>
      </c>
    </row>
    <row r="484" spans="1:18" s="94" customFormat="1" ht="60" hidden="1">
      <c r="A484" s="56" t="s">
        <v>567</v>
      </c>
      <c r="B484" s="682" t="s">
        <v>568</v>
      </c>
      <c r="C484" s="56"/>
      <c r="D484" s="56"/>
      <c r="E484" s="56"/>
      <c r="F484" s="56"/>
      <c r="G484" s="56"/>
      <c r="H484" s="56"/>
      <c r="I484" s="663"/>
      <c r="J484" s="663"/>
      <c r="K484" s="663"/>
      <c r="L484" s="682"/>
      <c r="M484" s="682"/>
      <c r="N484" s="82">
        <f>SUM(N485:N486)</f>
        <v>0</v>
      </c>
      <c r="O484" s="82">
        <f t="shared" ref="O484:R484" si="71">SUM(O485:O486)</f>
        <v>0</v>
      </c>
      <c r="P484" s="82">
        <f t="shared" si="71"/>
        <v>0</v>
      </c>
      <c r="Q484" s="82">
        <f t="shared" si="71"/>
        <v>0</v>
      </c>
      <c r="R484" s="82">
        <f t="shared" si="71"/>
        <v>0</v>
      </c>
    </row>
    <row r="485" spans="1:18" s="94" customFormat="1" ht="60" hidden="1">
      <c r="A485" s="83" t="s">
        <v>569</v>
      </c>
      <c r="B485" s="553" t="s">
        <v>436</v>
      </c>
      <c r="C485" s="83"/>
      <c r="D485" s="83"/>
      <c r="E485" s="83"/>
      <c r="F485" s="83"/>
      <c r="G485" s="83"/>
      <c r="H485" s="83"/>
      <c r="I485" s="663" t="s">
        <v>494</v>
      </c>
      <c r="J485" s="663" t="s">
        <v>64</v>
      </c>
      <c r="K485" s="663" t="s">
        <v>495</v>
      </c>
      <c r="L485" s="553" t="s">
        <v>29</v>
      </c>
      <c r="M485" s="553" t="s">
        <v>23</v>
      </c>
      <c r="N485" s="87">
        <v>0</v>
      </c>
      <c r="O485" s="87"/>
      <c r="P485" s="87"/>
      <c r="Q485" s="87">
        <v>0</v>
      </c>
      <c r="R485" s="87">
        <v>0</v>
      </c>
    </row>
    <row r="486" spans="1:18" s="94" customFormat="1" ht="84" hidden="1">
      <c r="A486" s="83" t="s">
        <v>692</v>
      </c>
      <c r="B486" s="553" t="s">
        <v>502</v>
      </c>
      <c r="C486" s="83"/>
      <c r="D486" s="83"/>
      <c r="E486" s="83"/>
      <c r="F486" s="83"/>
      <c r="G486" s="83"/>
      <c r="H486" s="83"/>
      <c r="I486" s="712" t="s">
        <v>669</v>
      </c>
      <c r="J486" s="712" t="s">
        <v>64</v>
      </c>
      <c r="K486" s="712" t="s">
        <v>505</v>
      </c>
      <c r="L486" s="553" t="s">
        <v>29</v>
      </c>
      <c r="M486" s="553" t="s">
        <v>23</v>
      </c>
      <c r="N486" s="87">
        <v>0</v>
      </c>
      <c r="O486" s="87"/>
      <c r="P486" s="87"/>
      <c r="Q486" s="87">
        <v>0</v>
      </c>
      <c r="R486" s="87">
        <v>0</v>
      </c>
    </row>
    <row r="487" spans="1:18" s="95" customFormat="1" ht="13.5" customHeight="1">
      <c r="A487" s="992" t="s">
        <v>570</v>
      </c>
      <c r="B487" s="720">
        <v>2313</v>
      </c>
      <c r="C487" s="56" t="s">
        <v>28</v>
      </c>
      <c r="D487" s="56" t="s">
        <v>28</v>
      </c>
      <c r="E487" s="56" t="s">
        <v>28</v>
      </c>
      <c r="F487" s="56" t="s">
        <v>28</v>
      </c>
      <c r="G487" s="56" t="s">
        <v>28</v>
      </c>
      <c r="H487" s="56" t="s">
        <v>28</v>
      </c>
      <c r="I487" s="56" t="s">
        <v>28</v>
      </c>
      <c r="J487" s="56" t="s">
        <v>28</v>
      </c>
      <c r="K487" s="56" t="s">
        <v>28</v>
      </c>
      <c r="L487" s="720" t="s">
        <v>38</v>
      </c>
      <c r="M487" s="720">
        <v>10</v>
      </c>
      <c r="N487" s="82">
        <f t="shared" ref="N487:R487" si="72">SUM(N488:N488)</f>
        <v>9296</v>
      </c>
      <c r="O487" s="82">
        <f t="shared" si="72"/>
        <v>9296</v>
      </c>
      <c r="P487" s="82">
        <f t="shared" si="72"/>
        <v>0</v>
      </c>
      <c r="Q487" s="82">
        <f t="shared" si="72"/>
        <v>0</v>
      </c>
      <c r="R487" s="82">
        <f t="shared" si="72"/>
        <v>0</v>
      </c>
    </row>
    <row r="488" spans="1:18" s="94" customFormat="1" ht="84" customHeight="1">
      <c r="A488" s="993"/>
      <c r="B488" s="676" t="s">
        <v>433</v>
      </c>
      <c r="C488" s="491"/>
      <c r="D488" s="491"/>
      <c r="E488" s="491"/>
      <c r="F488" s="823" t="s">
        <v>461</v>
      </c>
      <c r="G488" s="686" t="s">
        <v>695</v>
      </c>
      <c r="H488" s="686" t="s">
        <v>462</v>
      </c>
      <c r="I488" s="467" t="s">
        <v>1212</v>
      </c>
      <c r="J488" s="467" t="s">
        <v>64</v>
      </c>
      <c r="K488" s="467" t="s">
        <v>1207</v>
      </c>
      <c r="L488" s="676" t="s">
        <v>38</v>
      </c>
      <c r="M488" s="676" t="s">
        <v>20</v>
      </c>
      <c r="N488" s="478">
        <v>9296</v>
      </c>
      <c r="O488" s="478">
        <v>9296</v>
      </c>
      <c r="P488" s="478">
        <v>0</v>
      </c>
      <c r="Q488" s="478">
        <v>0</v>
      </c>
      <c r="R488" s="478">
        <v>0</v>
      </c>
    </row>
    <row r="489" spans="1:18" s="94" customFormat="1" ht="60">
      <c r="A489" s="775"/>
      <c r="B489" s="451"/>
      <c r="C489" s="481"/>
      <c r="D489" s="481"/>
      <c r="E489" s="481"/>
      <c r="F489" s="935"/>
      <c r="G489" s="741"/>
      <c r="H489" s="741"/>
      <c r="I489" s="674" t="s">
        <v>1222</v>
      </c>
      <c r="J489" s="674" t="s">
        <v>64</v>
      </c>
      <c r="K489" s="674" t="s">
        <v>1215</v>
      </c>
      <c r="L489" s="451"/>
      <c r="M489" s="451"/>
      <c r="N489" s="482"/>
      <c r="O489" s="482"/>
      <c r="P489" s="482"/>
      <c r="Q489" s="482"/>
      <c r="R489" s="482"/>
    </row>
    <row r="490" spans="1:18" s="94" customFormat="1" ht="60">
      <c r="A490" s="493"/>
      <c r="B490" s="677"/>
      <c r="C490" s="772"/>
      <c r="D490" s="772"/>
      <c r="E490" s="772"/>
      <c r="F490" s="687"/>
      <c r="G490" s="687"/>
      <c r="H490" s="687"/>
      <c r="I490" s="674" t="s">
        <v>1214</v>
      </c>
      <c r="J490" s="487" t="s">
        <v>64</v>
      </c>
      <c r="K490" s="487" t="s">
        <v>1215</v>
      </c>
      <c r="L490" s="677"/>
      <c r="M490" s="677"/>
      <c r="N490" s="492"/>
      <c r="O490" s="492"/>
      <c r="P490" s="492"/>
      <c r="Q490" s="492"/>
      <c r="R490" s="492"/>
    </row>
    <row r="491" spans="1:18" s="95" customFormat="1" ht="19.5" customHeight="1">
      <c r="A491" s="988" t="s">
        <v>571</v>
      </c>
      <c r="B491" s="720">
        <v>2314</v>
      </c>
      <c r="C491" s="56" t="s">
        <v>28</v>
      </c>
      <c r="D491" s="56" t="s">
        <v>28</v>
      </c>
      <c r="E491" s="56" t="s">
        <v>28</v>
      </c>
      <c r="F491" s="56" t="s">
        <v>28</v>
      </c>
      <c r="G491" s="56" t="s">
        <v>28</v>
      </c>
      <c r="H491" s="56" t="s">
        <v>28</v>
      </c>
      <c r="I491" s="663"/>
      <c r="J491" s="83"/>
      <c r="K491" s="663"/>
      <c r="L491" s="682" t="s">
        <v>38</v>
      </c>
      <c r="M491" s="682" t="s">
        <v>20</v>
      </c>
      <c r="N491" s="82">
        <f>SUM(N492:N494)</f>
        <v>790.44</v>
      </c>
      <c r="O491" s="82">
        <f>SUM(O492:O494)</f>
        <v>730.44499999999994</v>
      </c>
      <c r="P491" s="82">
        <f>SUM(P492:P495)</f>
        <v>330</v>
      </c>
      <c r="Q491" s="82">
        <f t="shared" ref="Q491:R491" si="73">SUM(Q492:Q495)</f>
        <v>0</v>
      </c>
      <c r="R491" s="82">
        <f t="shared" si="73"/>
        <v>0</v>
      </c>
    </row>
    <row r="492" spans="1:18" s="95" customFormat="1" ht="60">
      <c r="A492" s="989"/>
      <c r="B492" s="58" t="s">
        <v>888</v>
      </c>
      <c r="C492" s="77" t="s">
        <v>28</v>
      </c>
      <c r="D492" s="77" t="s">
        <v>28</v>
      </c>
      <c r="E492" s="77" t="s">
        <v>28</v>
      </c>
      <c r="F492" s="77" t="s">
        <v>28</v>
      </c>
      <c r="G492" s="77" t="s">
        <v>28</v>
      </c>
      <c r="H492" s="77" t="s">
        <v>28</v>
      </c>
      <c r="I492" s="688" t="s">
        <v>1123</v>
      </c>
      <c r="J492" s="38" t="s">
        <v>64</v>
      </c>
      <c r="K492" s="688" t="s">
        <v>1124</v>
      </c>
      <c r="L492" s="58" t="s">
        <v>38</v>
      </c>
      <c r="M492" s="58" t="s">
        <v>20</v>
      </c>
      <c r="N492" s="228">
        <v>281.5</v>
      </c>
      <c r="O492" s="228">
        <v>281.5</v>
      </c>
      <c r="P492" s="228">
        <v>0</v>
      </c>
      <c r="Q492" s="228">
        <v>0</v>
      </c>
      <c r="R492" s="228">
        <v>0</v>
      </c>
    </row>
    <row r="493" spans="1:18" s="94" customFormat="1" ht="60">
      <c r="A493" s="989"/>
      <c r="B493" s="553" t="s">
        <v>428</v>
      </c>
      <c r="C493" s="83"/>
      <c r="D493" s="83"/>
      <c r="E493" s="83"/>
      <c r="F493" s="83"/>
      <c r="G493" s="83"/>
      <c r="H493" s="83"/>
      <c r="I493" s="702" t="s">
        <v>1192</v>
      </c>
      <c r="J493" s="702" t="s">
        <v>64</v>
      </c>
      <c r="K493" s="713" t="s">
        <v>1193</v>
      </c>
      <c r="L493" s="553" t="s">
        <v>38</v>
      </c>
      <c r="M493" s="553" t="s">
        <v>20</v>
      </c>
      <c r="N493" s="87">
        <v>308.94</v>
      </c>
      <c r="O493" s="87">
        <v>308.94499999999999</v>
      </c>
      <c r="P493" s="87">
        <v>0</v>
      </c>
      <c r="Q493" s="87">
        <v>0</v>
      </c>
      <c r="R493" s="87">
        <v>0</v>
      </c>
    </row>
    <row r="494" spans="1:18" s="94" customFormat="1" ht="60">
      <c r="A494" s="774"/>
      <c r="B494" s="553" t="s">
        <v>1235</v>
      </c>
      <c r="C494" s="83"/>
      <c r="D494" s="83"/>
      <c r="E494" s="83"/>
      <c r="F494" s="83"/>
      <c r="G494" s="83"/>
      <c r="H494" s="83"/>
      <c r="I494" s="702" t="s">
        <v>1255</v>
      </c>
      <c r="J494" s="702" t="s">
        <v>64</v>
      </c>
      <c r="K494" s="713" t="s">
        <v>1252</v>
      </c>
      <c r="L494" s="553" t="s">
        <v>38</v>
      </c>
      <c r="M494" s="553" t="s">
        <v>20</v>
      </c>
      <c r="N494" s="87">
        <v>200</v>
      </c>
      <c r="O494" s="87">
        <v>140</v>
      </c>
      <c r="P494" s="87">
        <v>0</v>
      </c>
      <c r="Q494" s="87">
        <v>0</v>
      </c>
      <c r="R494" s="87">
        <v>0</v>
      </c>
    </row>
    <row r="495" spans="1:18" s="94" customFormat="1" ht="72">
      <c r="A495" s="637"/>
      <c r="B495" s="553" t="s">
        <v>761</v>
      </c>
      <c r="C495" s="83"/>
      <c r="D495" s="83"/>
      <c r="E495" s="83"/>
      <c r="F495" s="83"/>
      <c r="G495" s="83"/>
      <c r="H495" s="83"/>
      <c r="I495" s="702" t="s">
        <v>1445</v>
      </c>
      <c r="J495" s="702" t="s">
        <v>64</v>
      </c>
      <c r="K495" s="713" t="s">
        <v>1446</v>
      </c>
      <c r="L495" s="553" t="s">
        <v>38</v>
      </c>
      <c r="M495" s="553" t="s">
        <v>20</v>
      </c>
      <c r="N495" s="87">
        <v>0</v>
      </c>
      <c r="O495" s="87">
        <v>0</v>
      </c>
      <c r="P495" s="87">
        <v>330</v>
      </c>
      <c r="Q495" s="87">
        <v>0</v>
      </c>
      <c r="R495" s="87">
        <v>0</v>
      </c>
    </row>
    <row r="496" spans="1:18" s="95" customFormat="1" ht="48.75" hidden="1" customHeight="1">
      <c r="A496" s="80" t="s">
        <v>572</v>
      </c>
      <c r="B496" s="730">
        <v>2315</v>
      </c>
      <c r="C496" s="63"/>
      <c r="D496" s="63"/>
      <c r="E496" s="63"/>
      <c r="F496" s="63"/>
      <c r="G496" s="63"/>
      <c r="H496" s="63"/>
      <c r="I496" s="762"/>
      <c r="J496" s="762"/>
      <c r="K496" s="762"/>
      <c r="L496" s="232"/>
      <c r="M496" s="232"/>
      <c r="N496" s="62"/>
      <c r="O496" s="62"/>
      <c r="P496" s="62"/>
      <c r="Q496" s="62"/>
      <c r="R496" s="62"/>
    </row>
    <row r="497" spans="1:18" s="95" customFormat="1" ht="59.25" hidden="1" customHeight="1">
      <c r="A497" s="897" t="s">
        <v>722</v>
      </c>
      <c r="B497" s="682" t="s">
        <v>721</v>
      </c>
      <c r="C497" s="56"/>
      <c r="D497" s="56"/>
      <c r="E497" s="56"/>
      <c r="F497" s="56"/>
      <c r="G497" s="56"/>
      <c r="H497" s="56"/>
      <c r="I497" s="664"/>
      <c r="J497" s="664"/>
      <c r="K497" s="664"/>
      <c r="L497" s="682" t="s">
        <v>37</v>
      </c>
      <c r="M497" s="682" t="s">
        <v>29</v>
      </c>
      <c r="N497" s="82">
        <f t="shared" ref="N497:Q497" si="74">SUM(N498:N499)</f>
        <v>0</v>
      </c>
      <c r="O497" s="82">
        <f t="shared" si="74"/>
        <v>0</v>
      </c>
      <c r="P497" s="82">
        <f t="shared" si="74"/>
        <v>0</v>
      </c>
      <c r="Q497" s="82">
        <f t="shared" si="74"/>
        <v>0</v>
      </c>
      <c r="R497" s="82">
        <f t="shared" ref="R497" si="75">SUM(R498:R499)</f>
        <v>0</v>
      </c>
    </row>
    <row r="498" spans="1:18" s="95" customFormat="1" ht="72" hidden="1">
      <c r="A498" s="959"/>
      <c r="B498" s="553" t="s">
        <v>814</v>
      </c>
      <c r="C498" s="56"/>
      <c r="D498" s="56"/>
      <c r="E498" s="56"/>
      <c r="F498" s="56"/>
      <c r="G498" s="56"/>
      <c r="H498" s="56"/>
      <c r="I498" s="664" t="s">
        <v>815</v>
      </c>
      <c r="J498" s="664" t="s">
        <v>64</v>
      </c>
      <c r="K498" s="664" t="s">
        <v>816</v>
      </c>
      <c r="L498" s="553" t="s">
        <v>37</v>
      </c>
      <c r="M498" s="553" t="s">
        <v>29</v>
      </c>
      <c r="N498" s="87">
        <v>0</v>
      </c>
      <c r="O498" s="87">
        <v>0</v>
      </c>
      <c r="P498" s="87">
        <v>0</v>
      </c>
      <c r="Q498" s="87">
        <v>0</v>
      </c>
      <c r="R498" s="87">
        <v>0</v>
      </c>
    </row>
    <row r="499" spans="1:18" s="95" customFormat="1" ht="48" hidden="1">
      <c r="A499" s="960"/>
      <c r="B499" s="553" t="s">
        <v>448</v>
      </c>
      <c r="C499" s="56"/>
      <c r="D499" s="56"/>
      <c r="E499" s="56"/>
      <c r="F499" s="56"/>
      <c r="G499" s="56"/>
      <c r="H499" s="56"/>
      <c r="I499" s="664" t="s">
        <v>832</v>
      </c>
      <c r="J499" s="664" t="s">
        <v>64</v>
      </c>
      <c r="K499" s="664" t="s">
        <v>768</v>
      </c>
      <c r="L499" s="553" t="s">
        <v>37</v>
      </c>
      <c r="M499" s="553" t="s">
        <v>29</v>
      </c>
      <c r="N499" s="87">
        <v>0</v>
      </c>
      <c r="O499" s="87">
        <v>0</v>
      </c>
      <c r="P499" s="87">
        <v>0</v>
      </c>
      <c r="Q499" s="87">
        <v>0</v>
      </c>
      <c r="R499" s="87">
        <v>0</v>
      </c>
    </row>
    <row r="500" spans="1:18" s="95" customFormat="1" ht="59.25" hidden="1" customHeight="1">
      <c r="A500" s="731" t="s">
        <v>729</v>
      </c>
      <c r="B500" s="682" t="s">
        <v>848</v>
      </c>
      <c r="C500" s="56"/>
      <c r="D500" s="56"/>
      <c r="E500" s="56"/>
      <c r="F500" s="56"/>
      <c r="G500" s="56"/>
      <c r="H500" s="56"/>
      <c r="I500" s="664" t="s">
        <v>850</v>
      </c>
      <c r="J500" s="664" t="s">
        <v>64</v>
      </c>
      <c r="K500" s="664" t="s">
        <v>855</v>
      </c>
      <c r="L500" s="682" t="s">
        <v>37</v>
      </c>
      <c r="M500" s="682" t="s">
        <v>29</v>
      </c>
      <c r="N500" s="82">
        <v>0</v>
      </c>
      <c r="O500" s="82">
        <v>0</v>
      </c>
      <c r="P500" s="82">
        <v>0</v>
      </c>
      <c r="Q500" s="82">
        <v>0</v>
      </c>
      <c r="R500" s="82">
        <v>0</v>
      </c>
    </row>
    <row r="501" spans="1:18" s="95" customFormat="1" ht="48.75" customHeight="1">
      <c r="A501" s="56" t="s">
        <v>573</v>
      </c>
      <c r="B501" s="720">
        <v>2320</v>
      </c>
      <c r="C501" s="56"/>
      <c r="D501" s="56"/>
      <c r="E501" s="56"/>
      <c r="F501" s="56"/>
      <c r="G501" s="56"/>
      <c r="H501" s="56"/>
      <c r="I501" s="664"/>
      <c r="J501" s="664"/>
      <c r="K501" s="664"/>
      <c r="L501" s="682"/>
      <c r="M501" s="682"/>
      <c r="N501" s="82">
        <f t="shared" ref="N501:R501" si="76">SUM(N502:N502)</f>
        <v>8278.4</v>
      </c>
      <c r="O501" s="82">
        <f t="shared" si="76"/>
        <v>8278.4</v>
      </c>
      <c r="P501" s="82">
        <f t="shared" si="76"/>
        <v>8964.5</v>
      </c>
      <c r="Q501" s="82">
        <f t="shared" si="76"/>
        <v>8964.5</v>
      </c>
      <c r="R501" s="82">
        <f t="shared" si="76"/>
        <v>8964.5</v>
      </c>
    </row>
    <row r="502" spans="1:18" s="94" customFormat="1" ht="108.75" customHeight="1">
      <c r="A502" s="38" t="s">
        <v>693</v>
      </c>
      <c r="B502" s="58" t="s">
        <v>410</v>
      </c>
      <c r="C502" s="688" t="s">
        <v>470</v>
      </c>
      <c r="D502" s="688" t="s">
        <v>471</v>
      </c>
      <c r="E502" s="688" t="s">
        <v>54</v>
      </c>
      <c r="F502" s="663" t="s">
        <v>808</v>
      </c>
      <c r="G502" s="725" t="s">
        <v>809</v>
      </c>
      <c r="H502" s="725" t="s">
        <v>117</v>
      </c>
      <c r="I502" s="504" t="s">
        <v>1433</v>
      </c>
      <c r="J502" s="504" t="s">
        <v>64</v>
      </c>
      <c r="K502" s="248" t="s">
        <v>1434</v>
      </c>
      <c r="L502" s="688" t="s">
        <v>21</v>
      </c>
      <c r="M502" s="688" t="s">
        <v>29</v>
      </c>
      <c r="N502" s="172">
        <v>8278.4</v>
      </c>
      <c r="O502" s="391">
        <v>8278.4</v>
      </c>
      <c r="P502" s="165">
        <v>8964.5</v>
      </c>
      <c r="Q502" s="165">
        <v>8964.5</v>
      </c>
      <c r="R502" s="165">
        <v>8964.5</v>
      </c>
    </row>
    <row r="503" spans="1:18" s="95" customFormat="1" ht="60.75" customHeight="1">
      <c r="A503" s="77" t="s">
        <v>574</v>
      </c>
      <c r="B503" s="751" t="s">
        <v>575</v>
      </c>
      <c r="C503" s="77"/>
      <c r="D503" s="77"/>
      <c r="E503" s="77"/>
      <c r="F503" s="77"/>
      <c r="G503" s="77"/>
      <c r="H503" s="77"/>
      <c r="I503" s="77"/>
      <c r="J503" s="77"/>
      <c r="K503" s="77"/>
      <c r="L503" s="500"/>
      <c r="M503" s="500"/>
      <c r="N503" s="78">
        <f>SUM(N505:N511)</f>
        <v>1928.83</v>
      </c>
      <c r="O503" s="78">
        <f>SUM(O505:O511)</f>
        <v>1928.8319999999999</v>
      </c>
      <c r="P503" s="78">
        <f>SUM(P505:P512)</f>
        <v>552.93299999999999</v>
      </c>
      <c r="Q503" s="78">
        <f t="shared" ref="Q503:R503" si="77">SUM(Q505:Q512)</f>
        <v>0</v>
      </c>
      <c r="R503" s="78">
        <f t="shared" si="77"/>
        <v>0</v>
      </c>
    </row>
    <row r="504" spans="1:18" s="95" customFormat="1" ht="10.5" customHeight="1">
      <c r="A504" s="30" t="s">
        <v>89</v>
      </c>
      <c r="B504" s="137"/>
      <c r="C504" s="30"/>
      <c r="D504" s="30"/>
      <c r="E504" s="30"/>
      <c r="F504" s="30"/>
      <c r="G504" s="30"/>
      <c r="H504" s="30"/>
      <c r="I504" s="30"/>
      <c r="J504" s="30"/>
      <c r="K504" s="30"/>
      <c r="L504" s="688"/>
      <c r="M504" s="688"/>
      <c r="N504" s="171"/>
      <c r="O504" s="402"/>
      <c r="P504" s="30"/>
      <c r="Q504" s="30"/>
      <c r="R504" s="30"/>
    </row>
    <row r="505" spans="1:18" s="94" customFormat="1" ht="60" customHeight="1">
      <c r="A505" s="83" t="s">
        <v>1364</v>
      </c>
      <c r="B505" s="553" t="s">
        <v>420</v>
      </c>
      <c r="C505" s="83"/>
      <c r="D505" s="83"/>
      <c r="E505" s="83"/>
      <c r="F505" s="83"/>
      <c r="G505" s="83"/>
      <c r="H505" s="83"/>
      <c r="I505" s="663" t="s">
        <v>1383</v>
      </c>
      <c r="J505" s="83" t="s">
        <v>64</v>
      </c>
      <c r="K505" s="663" t="s">
        <v>1385</v>
      </c>
      <c r="L505" s="553" t="s">
        <v>21</v>
      </c>
      <c r="M505" s="553" t="s">
        <v>33</v>
      </c>
      <c r="N505" s="87">
        <v>171.83</v>
      </c>
      <c r="O505" s="87">
        <v>171.83199999999999</v>
      </c>
      <c r="P505" s="87">
        <v>333.93299999999999</v>
      </c>
      <c r="Q505" s="87">
        <v>0</v>
      </c>
      <c r="R505" s="87">
        <v>0</v>
      </c>
    </row>
    <row r="506" spans="1:18" s="94" customFormat="1" ht="74.25" customHeight="1">
      <c r="A506" s="454" t="s">
        <v>1363</v>
      </c>
      <c r="B506" s="361" t="s">
        <v>711</v>
      </c>
      <c r="C506" s="807"/>
      <c r="D506" s="807"/>
      <c r="E506" s="807"/>
      <c r="F506" s="807"/>
      <c r="G506" s="807"/>
      <c r="H506" s="807"/>
      <c r="I506" s="678" t="s">
        <v>1143</v>
      </c>
      <c r="J506" s="807" t="s">
        <v>64</v>
      </c>
      <c r="K506" s="807" t="s">
        <v>1144</v>
      </c>
      <c r="L506" s="361" t="s">
        <v>21</v>
      </c>
      <c r="M506" s="361" t="s">
        <v>33</v>
      </c>
      <c r="N506" s="362">
        <v>360</v>
      </c>
      <c r="O506" s="362">
        <v>360</v>
      </c>
      <c r="P506" s="362">
        <v>0</v>
      </c>
      <c r="Q506" s="362">
        <v>0</v>
      </c>
      <c r="R506" s="362">
        <v>0</v>
      </c>
    </row>
    <row r="507" spans="1:18" s="94" customFormat="1" ht="120.75" customHeight="1">
      <c r="A507" s="454" t="s">
        <v>1365</v>
      </c>
      <c r="B507" s="361" t="s">
        <v>710</v>
      </c>
      <c r="C507" s="808"/>
      <c r="D507" s="808"/>
      <c r="E507" s="808"/>
      <c r="F507" s="808"/>
      <c r="G507" s="808"/>
      <c r="H507" s="808"/>
      <c r="I507" s="678" t="s">
        <v>1145</v>
      </c>
      <c r="J507" s="808"/>
      <c r="K507" s="808"/>
      <c r="L507" s="361" t="s">
        <v>21</v>
      </c>
      <c r="M507" s="361" t="s">
        <v>33</v>
      </c>
      <c r="N507" s="362">
        <v>600</v>
      </c>
      <c r="O507" s="362">
        <v>600</v>
      </c>
      <c r="P507" s="362">
        <v>0</v>
      </c>
      <c r="Q507" s="362">
        <v>0</v>
      </c>
      <c r="R507" s="362">
        <v>0</v>
      </c>
    </row>
    <row r="508" spans="1:18" s="94" customFormat="1" ht="72">
      <c r="A508" s="83" t="s">
        <v>1366</v>
      </c>
      <c r="B508" s="553" t="s">
        <v>833</v>
      </c>
      <c r="C508" s="679"/>
      <c r="D508" s="679"/>
      <c r="E508" s="679"/>
      <c r="F508" s="679"/>
      <c r="G508" s="679"/>
      <c r="H508" s="679"/>
      <c r="I508" s="678" t="s">
        <v>1183</v>
      </c>
      <c r="J508" s="679" t="s">
        <v>64</v>
      </c>
      <c r="K508" s="679" t="s">
        <v>1184</v>
      </c>
      <c r="L508" s="553" t="s">
        <v>21</v>
      </c>
      <c r="M508" s="553" t="s">
        <v>33</v>
      </c>
      <c r="N508" s="87">
        <v>470</v>
      </c>
      <c r="O508" s="87">
        <v>470</v>
      </c>
      <c r="P508" s="87">
        <v>0</v>
      </c>
      <c r="Q508" s="87">
        <v>0</v>
      </c>
      <c r="R508" s="87">
        <v>0</v>
      </c>
    </row>
    <row r="509" spans="1:18" s="94" customFormat="1" ht="72">
      <c r="A509" s="83" t="s">
        <v>1367</v>
      </c>
      <c r="B509" s="553" t="s">
        <v>847</v>
      </c>
      <c r="C509" s="742"/>
      <c r="D509" s="742"/>
      <c r="E509" s="742"/>
      <c r="F509" s="742"/>
      <c r="G509" s="742"/>
      <c r="H509" s="742"/>
      <c r="I509" s="678" t="s">
        <v>1246</v>
      </c>
      <c r="J509" s="742" t="s">
        <v>64</v>
      </c>
      <c r="K509" s="742" t="s">
        <v>1247</v>
      </c>
      <c r="L509" s="553" t="s">
        <v>21</v>
      </c>
      <c r="M509" s="553" t="s">
        <v>33</v>
      </c>
      <c r="N509" s="87">
        <v>78</v>
      </c>
      <c r="O509" s="87">
        <v>78</v>
      </c>
      <c r="P509" s="87">
        <v>0</v>
      </c>
      <c r="Q509" s="87">
        <v>0</v>
      </c>
      <c r="R509" s="87">
        <v>0</v>
      </c>
    </row>
    <row r="510" spans="1:18" s="94" customFormat="1" ht="60" customHeight="1">
      <c r="A510" s="956" t="s">
        <v>1368</v>
      </c>
      <c r="B510" s="958" t="s">
        <v>442</v>
      </c>
      <c r="C510" s="937"/>
      <c r="D510" s="937"/>
      <c r="E510" s="937"/>
      <c r="F510" s="937" t="s">
        <v>461</v>
      </c>
      <c r="G510" s="937" t="s">
        <v>695</v>
      </c>
      <c r="H510" s="937" t="s">
        <v>462</v>
      </c>
      <c r="I510" s="743" t="s">
        <v>1297</v>
      </c>
      <c r="J510" s="679" t="s">
        <v>64</v>
      </c>
      <c r="K510" s="679" t="s">
        <v>1298</v>
      </c>
      <c r="L510" s="773" t="s">
        <v>21</v>
      </c>
      <c r="M510" s="773" t="s">
        <v>33</v>
      </c>
      <c r="N510" s="505">
        <v>249</v>
      </c>
      <c r="O510" s="505">
        <v>249</v>
      </c>
      <c r="P510" s="609">
        <v>0</v>
      </c>
      <c r="Q510" s="609">
        <v>0</v>
      </c>
      <c r="R510" s="609">
        <v>0</v>
      </c>
    </row>
    <row r="511" spans="1:18" s="94" customFormat="1" ht="83.25" customHeight="1">
      <c r="A511" s="957"/>
      <c r="B511" s="804"/>
      <c r="C511" s="936"/>
      <c r="D511" s="936"/>
      <c r="E511" s="936"/>
      <c r="F511" s="936"/>
      <c r="G511" s="936"/>
      <c r="H511" s="936"/>
      <c r="I511" s="743" t="s">
        <v>1302</v>
      </c>
      <c r="J511" s="742" t="s">
        <v>64</v>
      </c>
      <c r="K511" s="742" t="s">
        <v>1303</v>
      </c>
      <c r="L511" s="677"/>
      <c r="M511" s="677"/>
      <c r="N511" s="492"/>
      <c r="O511" s="492"/>
      <c r="P511" s="57"/>
      <c r="Q511" s="57"/>
      <c r="R511" s="57"/>
    </row>
    <row r="512" spans="1:18" s="94" customFormat="1" ht="48">
      <c r="A512" s="457" t="s">
        <v>1423</v>
      </c>
      <c r="B512" s="684" t="s">
        <v>421</v>
      </c>
      <c r="C512" s="679"/>
      <c r="D512" s="679"/>
      <c r="E512" s="679"/>
      <c r="F512" s="679"/>
      <c r="G512" s="679"/>
      <c r="H512" s="679"/>
      <c r="I512" s="642" t="s">
        <v>1435</v>
      </c>
      <c r="J512" s="679" t="s">
        <v>64</v>
      </c>
      <c r="K512" s="679" t="s">
        <v>1436</v>
      </c>
      <c r="L512" s="684" t="s">
        <v>21</v>
      </c>
      <c r="M512" s="684" t="s">
        <v>33</v>
      </c>
      <c r="N512" s="445">
        <v>0</v>
      </c>
      <c r="O512" s="445">
        <v>0</v>
      </c>
      <c r="P512" s="445">
        <v>219</v>
      </c>
      <c r="Q512" s="445">
        <v>0</v>
      </c>
      <c r="R512" s="445">
        <v>0</v>
      </c>
    </row>
    <row r="513" spans="1:18" s="95" customFormat="1" ht="59.25" hidden="1" customHeight="1">
      <c r="A513" s="462" t="s">
        <v>576</v>
      </c>
      <c r="B513" s="463" t="s">
        <v>577</v>
      </c>
      <c r="C513" s="462" t="s">
        <v>28</v>
      </c>
      <c r="D513" s="462" t="s">
        <v>28</v>
      </c>
      <c r="E513" s="462" t="s">
        <v>28</v>
      </c>
      <c r="F513" s="462" t="s">
        <v>28</v>
      </c>
      <c r="G513" s="462" t="s">
        <v>28</v>
      </c>
      <c r="H513" s="462" t="s">
        <v>28</v>
      </c>
      <c r="I513" s="461" t="s">
        <v>460</v>
      </c>
      <c r="J513" s="454" t="s">
        <v>64</v>
      </c>
      <c r="K513" s="461" t="s">
        <v>431</v>
      </c>
      <c r="L513" s="463" t="s">
        <v>32</v>
      </c>
      <c r="M513" s="464" t="s">
        <v>32</v>
      </c>
      <c r="N513" s="465"/>
      <c r="O513" s="465"/>
      <c r="P513" s="465"/>
      <c r="Q513" s="465"/>
      <c r="R513" s="465"/>
    </row>
    <row r="514" spans="1:18" s="95" customFormat="1" ht="49.5" customHeight="1">
      <c r="A514" s="462" t="s">
        <v>733</v>
      </c>
      <c r="B514" s="463">
        <v>2324</v>
      </c>
      <c r="C514" s="462"/>
      <c r="D514" s="462"/>
      <c r="E514" s="462"/>
      <c r="F514" s="462"/>
      <c r="G514" s="462"/>
      <c r="H514" s="462"/>
      <c r="I514" s="461"/>
      <c r="J514" s="454"/>
      <c r="K514" s="461"/>
      <c r="L514" s="463"/>
      <c r="M514" s="464"/>
      <c r="N514" s="465">
        <f>SUM(N515:N515)</f>
        <v>650</v>
      </c>
      <c r="O514" s="465">
        <f>SUM(O515:O515)</f>
        <v>650</v>
      </c>
      <c r="P514" s="465">
        <f>SUM(P515:P515)</f>
        <v>0</v>
      </c>
      <c r="Q514" s="465">
        <f>SUM(Q515:Q515)</f>
        <v>0</v>
      </c>
      <c r="R514" s="465">
        <f>SUM(R515:R515)</f>
        <v>0</v>
      </c>
    </row>
    <row r="515" spans="1:18" s="94" customFormat="1" ht="60" customHeight="1">
      <c r="A515" s="491" t="s">
        <v>1039</v>
      </c>
      <c r="B515" s="676" t="s">
        <v>439</v>
      </c>
      <c r="C515" s="678"/>
      <c r="D515" s="678"/>
      <c r="E515" s="678"/>
      <c r="F515" s="678"/>
      <c r="G515" s="678"/>
      <c r="H515" s="678"/>
      <c r="I515" s="467" t="s">
        <v>1188</v>
      </c>
      <c r="J515" s="467" t="s">
        <v>64</v>
      </c>
      <c r="K515" s="469" t="s">
        <v>1187</v>
      </c>
      <c r="L515" s="676" t="s">
        <v>32</v>
      </c>
      <c r="M515" s="676" t="s">
        <v>38</v>
      </c>
      <c r="N515" s="478">
        <v>650</v>
      </c>
      <c r="O515" s="478">
        <v>650</v>
      </c>
      <c r="P515" s="478">
        <v>0</v>
      </c>
      <c r="Q515" s="478">
        <v>0</v>
      </c>
      <c r="R515" s="478">
        <v>0</v>
      </c>
    </row>
    <row r="516" spans="1:18" s="94" customFormat="1" ht="60" customHeight="1">
      <c r="A516" s="772"/>
      <c r="B516" s="677"/>
      <c r="C516" s="742"/>
      <c r="D516" s="742"/>
      <c r="E516" s="742"/>
      <c r="F516" s="742"/>
      <c r="G516" s="742"/>
      <c r="H516" s="742"/>
      <c r="I516" s="487" t="s">
        <v>1209</v>
      </c>
      <c r="J516" s="487" t="s">
        <v>64</v>
      </c>
      <c r="K516" s="488" t="s">
        <v>1210</v>
      </c>
      <c r="L516" s="677"/>
      <c r="M516" s="677"/>
      <c r="N516" s="492"/>
      <c r="O516" s="492"/>
      <c r="P516" s="492"/>
      <c r="Q516" s="492"/>
      <c r="R516" s="492"/>
    </row>
    <row r="517" spans="1:18" s="95" customFormat="1" ht="108.75" customHeight="1">
      <c r="A517" s="45" t="s">
        <v>578</v>
      </c>
      <c r="B517" s="748">
        <v>2326</v>
      </c>
      <c r="C517" s="45" t="s">
        <v>28</v>
      </c>
      <c r="D517" s="45" t="s">
        <v>28</v>
      </c>
      <c r="E517" s="45" t="s">
        <v>28</v>
      </c>
      <c r="F517" s="45" t="s">
        <v>28</v>
      </c>
      <c r="G517" s="45" t="s">
        <v>28</v>
      </c>
      <c r="H517" s="45" t="s">
        <v>28</v>
      </c>
      <c r="I517" s="45" t="s">
        <v>28</v>
      </c>
      <c r="J517" s="45" t="s">
        <v>28</v>
      </c>
      <c r="K517" s="45" t="s">
        <v>28</v>
      </c>
      <c r="L517" s="748"/>
      <c r="M517" s="748"/>
      <c r="N517" s="46">
        <f>SUM(N519:N543)</f>
        <v>16911.830000000002</v>
      </c>
      <c r="O517" s="46">
        <f>SUM(O519:O543)</f>
        <v>16252.518</v>
      </c>
      <c r="P517" s="46">
        <f>SUM(P519:P543)</f>
        <v>5879.9929999999995</v>
      </c>
      <c r="Q517" s="46">
        <f t="shared" ref="Q517:R517" si="78">SUM(Q519:Q542)</f>
        <v>0</v>
      </c>
      <c r="R517" s="46">
        <f t="shared" si="78"/>
        <v>0</v>
      </c>
    </row>
    <row r="518" spans="1:18" s="95" customFormat="1" ht="13.5" customHeight="1">
      <c r="A518" s="40" t="s">
        <v>579</v>
      </c>
      <c r="B518" s="49"/>
      <c r="C518" s="86"/>
      <c r="D518" s="86"/>
      <c r="E518" s="86"/>
      <c r="F518" s="86"/>
      <c r="G518" s="86"/>
      <c r="H518" s="86"/>
      <c r="I518" s="86"/>
      <c r="J518" s="86"/>
      <c r="K518" s="86"/>
      <c r="L518" s="49"/>
      <c r="M518" s="49"/>
      <c r="N518" s="46"/>
      <c r="O518" s="380"/>
      <c r="P518" s="284"/>
      <c r="Q518" s="133"/>
      <c r="R518" s="133"/>
    </row>
    <row r="519" spans="1:18" s="94" customFormat="1" ht="108" customHeight="1">
      <c r="A519" s="821" t="s">
        <v>1040</v>
      </c>
      <c r="B519" s="550" t="s">
        <v>886</v>
      </c>
      <c r="C519" s="84"/>
      <c r="D519" s="84"/>
      <c r="E519" s="84"/>
      <c r="F519" s="84"/>
      <c r="G519" s="84"/>
      <c r="H519" s="84"/>
      <c r="I519" s="313" t="s">
        <v>1308</v>
      </c>
      <c r="J519" s="733" t="s">
        <v>64</v>
      </c>
      <c r="K519" s="557" t="s">
        <v>1122</v>
      </c>
      <c r="L519" s="550" t="s">
        <v>32</v>
      </c>
      <c r="M519" s="550" t="s">
        <v>38</v>
      </c>
      <c r="N519" s="192">
        <v>827.42</v>
      </c>
      <c r="O519" s="371">
        <v>827.42499999999995</v>
      </c>
      <c r="P519" s="72">
        <v>0</v>
      </c>
      <c r="Q519" s="72">
        <v>0</v>
      </c>
      <c r="R519" s="72">
        <v>0</v>
      </c>
    </row>
    <row r="520" spans="1:18" s="94" customFormat="1" ht="48.75" customHeight="1">
      <c r="A520" s="822"/>
      <c r="B520" s="551"/>
      <c r="C520" s="88"/>
      <c r="D520" s="88"/>
      <c r="E520" s="88"/>
      <c r="F520" s="88"/>
      <c r="G520" s="88"/>
      <c r="H520" s="88"/>
      <c r="I520" s="554" t="s">
        <v>1203</v>
      </c>
      <c r="J520" s="734" t="s">
        <v>64</v>
      </c>
      <c r="K520" s="558" t="s">
        <v>1204</v>
      </c>
      <c r="L520" s="551"/>
      <c r="M520" s="551"/>
      <c r="N520" s="57"/>
      <c r="O520" s="89"/>
      <c r="P520" s="89"/>
      <c r="Q520" s="89"/>
      <c r="R520" s="89"/>
    </row>
    <row r="521" spans="1:18" s="94" customFormat="1" ht="95.25" customHeight="1">
      <c r="A521" s="818" t="s">
        <v>1369</v>
      </c>
      <c r="B521" s="803" t="s">
        <v>473</v>
      </c>
      <c r="C521" s="807"/>
      <c r="D521" s="807"/>
      <c r="E521" s="807"/>
      <c r="F521" s="807"/>
      <c r="G521" s="807"/>
      <c r="H521" s="807"/>
      <c r="I521" s="686" t="s">
        <v>1307</v>
      </c>
      <c r="J521" s="467" t="s">
        <v>64</v>
      </c>
      <c r="K521" s="469" t="s">
        <v>1122</v>
      </c>
      <c r="L521" s="773" t="s">
        <v>32</v>
      </c>
      <c r="M521" s="773" t="s">
        <v>38</v>
      </c>
      <c r="N521" s="505">
        <v>1002.22</v>
      </c>
      <c r="O521" s="516">
        <v>769.5</v>
      </c>
      <c r="P521" s="516">
        <v>0</v>
      </c>
      <c r="Q521" s="516">
        <v>0</v>
      </c>
      <c r="R521" s="516">
        <v>0</v>
      </c>
    </row>
    <row r="522" spans="1:18" s="94" customFormat="1" ht="96" customHeight="1">
      <c r="A522" s="819"/>
      <c r="B522" s="820"/>
      <c r="C522" s="808"/>
      <c r="D522" s="808"/>
      <c r="E522" s="808"/>
      <c r="F522" s="808"/>
      <c r="G522" s="808"/>
      <c r="H522" s="808"/>
      <c r="I522" s="466" t="s">
        <v>1147</v>
      </c>
      <c r="J522" s="468" t="s">
        <v>64</v>
      </c>
      <c r="K522" s="470" t="s">
        <v>1142</v>
      </c>
      <c r="L522" s="677"/>
      <c r="M522" s="677"/>
      <c r="N522" s="492"/>
      <c r="O522" s="498"/>
      <c r="P522" s="498"/>
      <c r="Q522" s="498"/>
      <c r="R522" s="498"/>
    </row>
    <row r="523" spans="1:18" s="94" customFormat="1" ht="84.75" customHeight="1">
      <c r="A523" s="683" t="s">
        <v>1041</v>
      </c>
      <c r="B523" s="684" t="s">
        <v>421</v>
      </c>
      <c r="C523" s="457"/>
      <c r="D523" s="457"/>
      <c r="E523" s="457"/>
      <c r="F523" s="457"/>
      <c r="G523" s="457"/>
      <c r="H523" s="457"/>
      <c r="I523" s="339" t="s">
        <v>1185</v>
      </c>
      <c r="J523" s="468" t="s">
        <v>64</v>
      </c>
      <c r="K523" s="470" t="s">
        <v>1131</v>
      </c>
      <c r="L523" s="458" t="s">
        <v>32</v>
      </c>
      <c r="M523" s="361" t="s">
        <v>38</v>
      </c>
      <c r="N523" s="445">
        <v>220.03</v>
      </c>
      <c r="O523" s="459">
        <v>0</v>
      </c>
      <c r="P523" s="459">
        <v>0</v>
      </c>
      <c r="Q523" s="459">
        <v>0</v>
      </c>
      <c r="R523" s="459">
        <v>0</v>
      </c>
    </row>
    <row r="524" spans="1:18" s="94" customFormat="1" ht="86.25" customHeight="1">
      <c r="A524" s="683" t="s">
        <v>1370</v>
      </c>
      <c r="B524" s="684" t="s">
        <v>910</v>
      </c>
      <c r="C524" s="457"/>
      <c r="D524" s="457"/>
      <c r="E524" s="457"/>
      <c r="F524" s="457"/>
      <c r="G524" s="457"/>
      <c r="H524" s="457"/>
      <c r="I524" s="339" t="s">
        <v>1133</v>
      </c>
      <c r="J524" s="468" t="s">
        <v>64</v>
      </c>
      <c r="K524" s="470" t="s">
        <v>1132</v>
      </c>
      <c r="L524" s="458" t="s">
        <v>32</v>
      </c>
      <c r="M524" s="361" t="s">
        <v>38</v>
      </c>
      <c r="N524" s="445">
        <v>300</v>
      </c>
      <c r="O524" s="459">
        <v>300</v>
      </c>
      <c r="P524" s="459">
        <v>0</v>
      </c>
      <c r="Q524" s="459">
        <v>0</v>
      </c>
      <c r="R524" s="459">
        <v>0</v>
      </c>
    </row>
    <row r="525" spans="1:18" s="94" customFormat="1" ht="48">
      <c r="A525" s="683" t="s">
        <v>1371</v>
      </c>
      <c r="B525" s="684" t="s">
        <v>429</v>
      </c>
      <c r="C525" s="457"/>
      <c r="D525" s="457"/>
      <c r="E525" s="457"/>
      <c r="F525" s="457"/>
      <c r="G525" s="457"/>
      <c r="H525" s="457"/>
      <c r="I525" s="466" t="s">
        <v>1174</v>
      </c>
      <c r="J525" s="468" t="s">
        <v>64</v>
      </c>
      <c r="K525" s="470" t="s">
        <v>1175</v>
      </c>
      <c r="L525" s="458" t="s">
        <v>32</v>
      </c>
      <c r="M525" s="553" t="s">
        <v>38</v>
      </c>
      <c r="N525" s="445">
        <v>230</v>
      </c>
      <c r="O525" s="459">
        <v>230</v>
      </c>
      <c r="P525" s="459">
        <v>0</v>
      </c>
      <c r="Q525" s="459">
        <v>0</v>
      </c>
      <c r="R525" s="459">
        <v>0</v>
      </c>
    </row>
    <row r="526" spans="1:18" s="94" customFormat="1" ht="72">
      <c r="A526" s="683" t="s">
        <v>1372</v>
      </c>
      <c r="B526" s="684" t="s">
        <v>913</v>
      </c>
      <c r="C526" s="457"/>
      <c r="D526" s="457"/>
      <c r="E526" s="457"/>
      <c r="F526" s="457"/>
      <c r="G526" s="457"/>
      <c r="H526" s="457"/>
      <c r="I526" s="466" t="s">
        <v>1186</v>
      </c>
      <c r="J526" s="468" t="s">
        <v>64</v>
      </c>
      <c r="K526" s="470" t="s">
        <v>1187</v>
      </c>
      <c r="L526" s="458" t="s">
        <v>32</v>
      </c>
      <c r="M526" s="553" t="s">
        <v>38</v>
      </c>
      <c r="N526" s="445">
        <v>2000</v>
      </c>
      <c r="O526" s="459">
        <v>1793.4259999999999</v>
      </c>
      <c r="P526" s="459">
        <v>0</v>
      </c>
      <c r="Q526" s="459">
        <v>0</v>
      </c>
      <c r="R526" s="459">
        <v>0</v>
      </c>
    </row>
    <row r="527" spans="1:18" s="94" customFormat="1" ht="72" customHeight="1">
      <c r="A527" s="683" t="s">
        <v>1373</v>
      </c>
      <c r="B527" s="684" t="s">
        <v>436</v>
      </c>
      <c r="C527" s="457"/>
      <c r="D527" s="457"/>
      <c r="E527" s="457"/>
      <c r="F527" s="457"/>
      <c r="G527" s="457"/>
      <c r="H527" s="457"/>
      <c r="I527" s="466" t="s">
        <v>1309</v>
      </c>
      <c r="J527" s="468" t="s">
        <v>64</v>
      </c>
      <c r="K527" s="470" t="s">
        <v>1187</v>
      </c>
      <c r="L527" s="458" t="s">
        <v>32</v>
      </c>
      <c r="M527" s="553" t="s">
        <v>38</v>
      </c>
      <c r="N527" s="445">
        <v>7564.68</v>
      </c>
      <c r="O527" s="459">
        <v>7564.6869999999999</v>
      </c>
      <c r="P527" s="459">
        <v>0</v>
      </c>
      <c r="Q527" s="459">
        <v>0</v>
      </c>
      <c r="R527" s="459">
        <v>0</v>
      </c>
    </row>
    <row r="528" spans="1:18" s="94" customFormat="1" ht="73.5" customHeight="1">
      <c r="A528" s="685" t="s">
        <v>1374</v>
      </c>
      <c r="B528" s="551" t="s">
        <v>444</v>
      </c>
      <c r="C528" s="88"/>
      <c r="D528" s="88"/>
      <c r="E528" s="88"/>
      <c r="F528" s="88"/>
      <c r="G528" s="88"/>
      <c r="H528" s="88"/>
      <c r="I528" s="554" t="s">
        <v>1304</v>
      </c>
      <c r="J528" s="734" t="s">
        <v>64</v>
      </c>
      <c r="K528" s="558" t="s">
        <v>1207</v>
      </c>
      <c r="L528" s="458" t="s">
        <v>32</v>
      </c>
      <c r="M528" s="553" t="s">
        <v>38</v>
      </c>
      <c r="N528" s="57">
        <v>2634.48</v>
      </c>
      <c r="O528" s="89">
        <v>2634.48</v>
      </c>
      <c r="P528" s="459">
        <v>0</v>
      </c>
      <c r="Q528" s="459">
        <v>0</v>
      </c>
      <c r="R528" s="459">
        <v>0</v>
      </c>
    </row>
    <row r="529" spans="1:18" s="94" customFormat="1" ht="72">
      <c r="A529" s="745" t="s">
        <v>1375</v>
      </c>
      <c r="B529" s="677" t="s">
        <v>1218</v>
      </c>
      <c r="C529" s="772"/>
      <c r="D529" s="772"/>
      <c r="E529" s="772"/>
      <c r="F529" s="772"/>
      <c r="G529" s="772"/>
      <c r="H529" s="772"/>
      <c r="I529" s="687" t="s">
        <v>1233</v>
      </c>
      <c r="J529" s="487" t="s">
        <v>64</v>
      </c>
      <c r="K529" s="488" t="s">
        <v>1229</v>
      </c>
      <c r="L529" s="458" t="s">
        <v>32</v>
      </c>
      <c r="M529" s="553" t="s">
        <v>38</v>
      </c>
      <c r="N529" s="492">
        <v>200</v>
      </c>
      <c r="O529" s="498">
        <v>200</v>
      </c>
      <c r="P529" s="459">
        <v>0</v>
      </c>
      <c r="Q529" s="459">
        <v>0</v>
      </c>
      <c r="R529" s="459">
        <v>0</v>
      </c>
    </row>
    <row r="530" spans="1:18" s="94" customFormat="1" ht="49.5" customHeight="1">
      <c r="A530" s="745" t="s">
        <v>1376</v>
      </c>
      <c r="B530" s="677" t="s">
        <v>447</v>
      </c>
      <c r="C530" s="772"/>
      <c r="D530" s="772"/>
      <c r="E530" s="772"/>
      <c r="F530" s="772"/>
      <c r="G530" s="772"/>
      <c r="H530" s="772"/>
      <c r="I530" s="687" t="s">
        <v>1232</v>
      </c>
      <c r="J530" s="487" t="s">
        <v>64</v>
      </c>
      <c r="K530" s="488" t="s">
        <v>1229</v>
      </c>
      <c r="L530" s="458" t="s">
        <v>32</v>
      </c>
      <c r="M530" s="553" t="s">
        <v>38</v>
      </c>
      <c r="N530" s="492">
        <v>200</v>
      </c>
      <c r="O530" s="498">
        <v>200</v>
      </c>
      <c r="P530" s="459">
        <v>0</v>
      </c>
      <c r="Q530" s="459">
        <v>0</v>
      </c>
      <c r="R530" s="459">
        <v>0</v>
      </c>
    </row>
    <row r="531" spans="1:18" s="94" customFormat="1" ht="85.5" customHeight="1">
      <c r="A531" s="683" t="s">
        <v>1424</v>
      </c>
      <c r="B531" s="684" t="s">
        <v>910</v>
      </c>
      <c r="C531" s="457"/>
      <c r="D531" s="457"/>
      <c r="E531" s="457"/>
      <c r="F531" s="457"/>
      <c r="G531" s="457"/>
      <c r="H531" s="457"/>
      <c r="I531" s="466" t="s">
        <v>1502</v>
      </c>
      <c r="J531" s="468" t="s">
        <v>64</v>
      </c>
      <c r="K531" s="470" t="s">
        <v>1442</v>
      </c>
      <c r="L531" s="458" t="s">
        <v>32</v>
      </c>
      <c r="M531" s="553" t="s">
        <v>38</v>
      </c>
      <c r="N531" s="445">
        <v>0</v>
      </c>
      <c r="O531" s="459">
        <v>0</v>
      </c>
      <c r="P531" s="459">
        <v>544.47299999999996</v>
      </c>
      <c r="Q531" s="459">
        <v>0</v>
      </c>
      <c r="R531" s="459">
        <v>0</v>
      </c>
    </row>
    <row r="532" spans="1:18" s="94" customFormat="1" ht="84.75" customHeight="1">
      <c r="A532" s="683" t="s">
        <v>1425</v>
      </c>
      <c r="B532" s="684" t="s">
        <v>745</v>
      </c>
      <c r="C532" s="457"/>
      <c r="D532" s="457"/>
      <c r="E532" s="457"/>
      <c r="F532" s="457"/>
      <c r="G532" s="457"/>
      <c r="H532" s="457"/>
      <c r="I532" s="466" t="s">
        <v>1537</v>
      </c>
      <c r="J532" s="468" t="s">
        <v>64</v>
      </c>
      <c r="K532" s="470" t="s">
        <v>1442</v>
      </c>
      <c r="L532" s="458" t="s">
        <v>32</v>
      </c>
      <c r="M532" s="553" t="s">
        <v>38</v>
      </c>
      <c r="N532" s="445">
        <v>0</v>
      </c>
      <c r="O532" s="459">
        <v>0</v>
      </c>
      <c r="P532" s="459">
        <v>2232.7199999999998</v>
      </c>
      <c r="Q532" s="459">
        <v>0</v>
      </c>
      <c r="R532" s="459">
        <v>0</v>
      </c>
    </row>
    <row r="533" spans="1:18" s="94" customFormat="1" ht="48">
      <c r="A533" s="83" t="s">
        <v>1482</v>
      </c>
      <c r="B533" s="553" t="s">
        <v>711</v>
      </c>
      <c r="C533" s="83"/>
      <c r="D533" s="83"/>
      <c r="E533" s="83"/>
      <c r="F533" s="83"/>
      <c r="G533" s="83"/>
      <c r="H533" s="83"/>
      <c r="I533" s="466" t="s">
        <v>1443</v>
      </c>
      <c r="J533" s="702" t="s">
        <v>64</v>
      </c>
      <c r="K533" s="713" t="s">
        <v>1444</v>
      </c>
      <c r="L533" s="553" t="s">
        <v>32</v>
      </c>
      <c r="M533" s="553" t="s">
        <v>33</v>
      </c>
      <c r="N533" s="87">
        <v>0</v>
      </c>
      <c r="O533" s="91">
        <v>0</v>
      </c>
      <c r="P533" s="91">
        <v>230</v>
      </c>
      <c r="Q533" s="91">
        <v>0</v>
      </c>
      <c r="R533" s="91">
        <v>0</v>
      </c>
    </row>
    <row r="534" spans="1:18" s="94" customFormat="1" ht="59.25" customHeight="1">
      <c r="A534" s="683" t="s">
        <v>1483</v>
      </c>
      <c r="B534" s="684" t="s">
        <v>430</v>
      </c>
      <c r="C534" s="457"/>
      <c r="D534" s="457"/>
      <c r="E534" s="457"/>
      <c r="F534" s="457"/>
      <c r="G534" s="457"/>
      <c r="H534" s="457"/>
      <c r="I534" s="466" t="s">
        <v>1441</v>
      </c>
      <c r="J534" s="468" t="s">
        <v>64</v>
      </c>
      <c r="K534" s="470" t="s">
        <v>1442</v>
      </c>
      <c r="L534" s="458" t="s">
        <v>32</v>
      </c>
      <c r="M534" s="553" t="s">
        <v>38</v>
      </c>
      <c r="N534" s="445">
        <v>0</v>
      </c>
      <c r="O534" s="459">
        <v>0</v>
      </c>
      <c r="P534" s="459">
        <v>774.8</v>
      </c>
      <c r="Q534" s="459">
        <v>0</v>
      </c>
      <c r="R534" s="459">
        <v>0</v>
      </c>
    </row>
    <row r="535" spans="1:18" s="94" customFormat="1" ht="72" customHeight="1">
      <c r="A535" s="745" t="s">
        <v>1484</v>
      </c>
      <c r="B535" s="677" t="s">
        <v>429</v>
      </c>
      <c r="C535" s="772"/>
      <c r="D535" s="772"/>
      <c r="E535" s="772"/>
      <c r="F535" s="772"/>
      <c r="G535" s="772"/>
      <c r="H535" s="772"/>
      <c r="I535" s="687" t="s">
        <v>1538</v>
      </c>
      <c r="J535" s="487" t="s">
        <v>64</v>
      </c>
      <c r="K535" s="488" t="s">
        <v>1501</v>
      </c>
      <c r="L535" s="458" t="s">
        <v>32</v>
      </c>
      <c r="M535" s="553" t="s">
        <v>38</v>
      </c>
      <c r="N535" s="492">
        <v>0</v>
      </c>
      <c r="O535" s="498">
        <v>0</v>
      </c>
      <c r="P535" s="498">
        <v>2098</v>
      </c>
      <c r="Q535" s="498">
        <v>0</v>
      </c>
      <c r="R535" s="498">
        <v>0</v>
      </c>
    </row>
    <row r="536" spans="1:18" s="94" customFormat="1" ht="24">
      <c r="A536" s="56" t="s">
        <v>580</v>
      </c>
      <c r="B536" s="553"/>
      <c r="C536" s="83"/>
      <c r="D536" s="83"/>
      <c r="E536" s="83"/>
      <c r="F536" s="83"/>
      <c r="G536" s="83"/>
      <c r="H536" s="83"/>
      <c r="I536" s="702"/>
      <c r="J536" s="702"/>
      <c r="K536" s="713"/>
      <c r="L536" s="663"/>
      <c r="M536" s="663"/>
      <c r="N536" s="87"/>
      <c r="O536" s="83"/>
      <c r="P536" s="83"/>
      <c r="Q536" s="83"/>
      <c r="R536" s="83"/>
    </row>
    <row r="537" spans="1:18" s="94" customFormat="1" ht="144.75" customHeight="1">
      <c r="A537" s="84" t="s">
        <v>1377</v>
      </c>
      <c r="B537" s="550" t="s">
        <v>724</v>
      </c>
      <c r="C537" s="718"/>
      <c r="D537" s="718"/>
      <c r="E537" s="718"/>
      <c r="F537" s="756" t="s">
        <v>1113</v>
      </c>
      <c r="G537" s="756" t="s">
        <v>1114</v>
      </c>
      <c r="H537" s="756" t="s">
        <v>810</v>
      </c>
      <c r="I537" s="467" t="s">
        <v>1171</v>
      </c>
      <c r="J537" s="467" t="s">
        <v>1173</v>
      </c>
      <c r="K537" s="469" t="s">
        <v>1170</v>
      </c>
      <c r="L537" s="550" t="s">
        <v>32</v>
      </c>
      <c r="M537" s="550" t="s">
        <v>38</v>
      </c>
      <c r="N537" s="192">
        <v>1000</v>
      </c>
      <c r="O537" s="371">
        <v>1000</v>
      </c>
      <c r="P537" s="72">
        <v>0</v>
      </c>
      <c r="Q537" s="72">
        <v>0</v>
      </c>
      <c r="R537" s="72">
        <v>0</v>
      </c>
    </row>
    <row r="538" spans="1:18" s="94" customFormat="1" ht="60.75" customHeight="1">
      <c r="A538" s="818" t="s">
        <v>1378</v>
      </c>
      <c r="B538" s="803" t="s">
        <v>1221</v>
      </c>
      <c r="C538" s="807"/>
      <c r="D538" s="807"/>
      <c r="E538" s="807"/>
      <c r="F538" s="823" t="s">
        <v>461</v>
      </c>
      <c r="G538" s="823" t="s">
        <v>695</v>
      </c>
      <c r="H538" s="823" t="s">
        <v>462</v>
      </c>
      <c r="I538" s="733" t="s">
        <v>1276</v>
      </c>
      <c r="J538" s="733" t="s">
        <v>64</v>
      </c>
      <c r="K538" s="557" t="s">
        <v>1234</v>
      </c>
      <c r="L538" s="803" t="s">
        <v>32</v>
      </c>
      <c r="M538" s="803" t="s">
        <v>38</v>
      </c>
      <c r="N538" s="805">
        <v>250</v>
      </c>
      <c r="O538" s="801">
        <v>250</v>
      </c>
      <c r="P538" s="801">
        <v>0</v>
      </c>
      <c r="Q538" s="801">
        <v>0</v>
      </c>
      <c r="R538" s="801">
        <v>0</v>
      </c>
    </row>
    <row r="539" spans="1:18" s="94" customFormat="1" ht="60.75" customHeight="1">
      <c r="A539" s="938"/>
      <c r="B539" s="804"/>
      <c r="C539" s="936"/>
      <c r="D539" s="936"/>
      <c r="E539" s="936"/>
      <c r="F539" s="824"/>
      <c r="G539" s="824"/>
      <c r="H539" s="824"/>
      <c r="I539" s="467" t="s">
        <v>1236</v>
      </c>
      <c r="J539" s="467" t="s">
        <v>64</v>
      </c>
      <c r="K539" s="469" t="s">
        <v>1237</v>
      </c>
      <c r="L539" s="804"/>
      <c r="M539" s="804"/>
      <c r="N539" s="806"/>
      <c r="O539" s="802"/>
      <c r="P539" s="802"/>
      <c r="Q539" s="802"/>
      <c r="R539" s="802"/>
    </row>
    <row r="540" spans="1:18" s="94" customFormat="1" ht="48" customHeight="1">
      <c r="A540" s="818" t="s">
        <v>1379</v>
      </c>
      <c r="B540" s="803" t="s">
        <v>453</v>
      </c>
      <c r="C540" s="807"/>
      <c r="D540" s="807"/>
      <c r="E540" s="807"/>
      <c r="F540" s="823"/>
      <c r="G540" s="823"/>
      <c r="H540" s="823"/>
      <c r="I540" s="467" t="s">
        <v>1244</v>
      </c>
      <c r="J540" s="467" t="s">
        <v>64</v>
      </c>
      <c r="K540" s="469" t="s">
        <v>1245</v>
      </c>
      <c r="L540" s="803" t="s">
        <v>32</v>
      </c>
      <c r="M540" s="803" t="s">
        <v>38</v>
      </c>
      <c r="N540" s="805">
        <v>100</v>
      </c>
      <c r="O540" s="801">
        <v>100</v>
      </c>
      <c r="P540" s="801">
        <v>0</v>
      </c>
      <c r="Q540" s="801">
        <v>0</v>
      </c>
      <c r="R540" s="801">
        <v>0</v>
      </c>
    </row>
    <row r="541" spans="1:18" s="94" customFormat="1" ht="72.75" customHeight="1">
      <c r="A541" s="938"/>
      <c r="B541" s="804"/>
      <c r="C541" s="936"/>
      <c r="D541" s="936"/>
      <c r="E541" s="936"/>
      <c r="F541" s="824"/>
      <c r="G541" s="824"/>
      <c r="H541" s="824"/>
      <c r="I541" s="467" t="s">
        <v>1253</v>
      </c>
      <c r="J541" s="467" t="s">
        <v>64</v>
      </c>
      <c r="K541" s="469" t="s">
        <v>1254</v>
      </c>
      <c r="L541" s="804"/>
      <c r="M541" s="804"/>
      <c r="N541" s="806"/>
      <c r="O541" s="802"/>
      <c r="P541" s="802"/>
      <c r="Q541" s="802"/>
      <c r="R541" s="802"/>
    </row>
    <row r="542" spans="1:18" s="94" customFormat="1" ht="48" customHeight="1">
      <c r="A542" s="818" t="s">
        <v>1380</v>
      </c>
      <c r="B542" s="803" t="s">
        <v>459</v>
      </c>
      <c r="C542" s="807"/>
      <c r="D542" s="807"/>
      <c r="E542" s="807"/>
      <c r="F542" s="823"/>
      <c r="G542" s="823"/>
      <c r="H542" s="823"/>
      <c r="I542" s="467" t="s">
        <v>1242</v>
      </c>
      <c r="J542" s="467" t="s">
        <v>64</v>
      </c>
      <c r="K542" s="469" t="s">
        <v>1243</v>
      </c>
      <c r="L542" s="803" t="s">
        <v>32</v>
      </c>
      <c r="M542" s="803" t="s">
        <v>38</v>
      </c>
      <c r="N542" s="805">
        <v>383</v>
      </c>
      <c r="O542" s="801">
        <v>383</v>
      </c>
      <c r="P542" s="801">
        <v>0</v>
      </c>
      <c r="Q542" s="801">
        <v>0</v>
      </c>
      <c r="R542" s="801">
        <v>0</v>
      </c>
    </row>
    <row r="543" spans="1:18" s="94" customFormat="1" ht="72" customHeight="1">
      <c r="A543" s="938"/>
      <c r="B543" s="804"/>
      <c r="C543" s="936"/>
      <c r="D543" s="936"/>
      <c r="E543" s="936"/>
      <c r="F543" s="824"/>
      <c r="G543" s="824"/>
      <c r="H543" s="824"/>
      <c r="I543" s="467" t="s">
        <v>1248</v>
      </c>
      <c r="J543" s="467" t="s">
        <v>64</v>
      </c>
      <c r="K543" s="469" t="s">
        <v>1249</v>
      </c>
      <c r="L543" s="804"/>
      <c r="M543" s="804"/>
      <c r="N543" s="806"/>
      <c r="O543" s="802"/>
      <c r="P543" s="802"/>
      <c r="Q543" s="802"/>
      <c r="R543" s="802"/>
    </row>
    <row r="544" spans="1:18" s="95" customFormat="1" ht="59.25" customHeight="1">
      <c r="A544" s="897" t="s">
        <v>581</v>
      </c>
      <c r="B544" s="85" t="s">
        <v>1485</v>
      </c>
      <c r="C544" s="80"/>
      <c r="D544" s="80"/>
      <c r="E544" s="80"/>
      <c r="F544" s="80"/>
      <c r="G544" s="80"/>
      <c r="H544" s="80"/>
      <c r="I544" s="923" t="s">
        <v>1503</v>
      </c>
      <c r="J544" s="923" t="s">
        <v>64</v>
      </c>
      <c r="K544" s="557" t="s">
        <v>1501</v>
      </c>
      <c r="L544" s="85" t="s">
        <v>34</v>
      </c>
      <c r="M544" s="85" t="s">
        <v>22</v>
      </c>
      <c r="N544" s="81">
        <v>0</v>
      </c>
      <c r="O544" s="653">
        <v>0</v>
      </c>
      <c r="P544" s="226">
        <v>210</v>
      </c>
      <c r="Q544" s="226">
        <v>0</v>
      </c>
      <c r="R544" s="226">
        <v>0</v>
      </c>
    </row>
    <row r="545" spans="1:18" s="95" customFormat="1" ht="59.25" customHeight="1">
      <c r="A545" s="898"/>
      <c r="B545" s="232" t="s">
        <v>1415</v>
      </c>
      <c r="C545" s="63"/>
      <c r="D545" s="63"/>
      <c r="E545" s="63"/>
      <c r="F545" s="63"/>
      <c r="G545" s="63"/>
      <c r="H545" s="63"/>
      <c r="I545" s="924"/>
      <c r="J545" s="924"/>
      <c r="K545" s="667"/>
      <c r="L545" s="232" t="s">
        <v>34</v>
      </c>
      <c r="M545" s="232" t="s">
        <v>22</v>
      </c>
      <c r="N545" s="654">
        <v>0</v>
      </c>
      <c r="O545" s="655">
        <v>0</v>
      </c>
      <c r="P545" s="656">
        <v>3990</v>
      </c>
      <c r="Q545" s="656">
        <v>0</v>
      </c>
      <c r="R545" s="656">
        <v>0</v>
      </c>
    </row>
    <row r="546" spans="1:18" s="95" customFormat="1" ht="13.5" customHeight="1">
      <c r="A546" s="897" t="s">
        <v>725</v>
      </c>
      <c r="B546" s="85" t="s">
        <v>726</v>
      </c>
      <c r="C546" s="80"/>
      <c r="D546" s="80"/>
      <c r="E546" s="80"/>
      <c r="F546" s="80"/>
      <c r="G546" s="80"/>
      <c r="H546" s="80"/>
      <c r="I546" s="224"/>
      <c r="J546" s="733"/>
      <c r="K546" s="557"/>
      <c r="L546" s="85"/>
      <c r="M546" s="85"/>
      <c r="N546" s="81">
        <f>SUM(N547:N547)</f>
        <v>1000</v>
      </c>
      <c r="O546" s="226">
        <f>SUM(O547:O547)</f>
        <v>1000</v>
      </c>
      <c r="P546" s="226">
        <f>SUM(P547:P547)</f>
        <v>0</v>
      </c>
      <c r="Q546" s="226">
        <f>SUM(Q547:Q547)</f>
        <v>0</v>
      </c>
      <c r="R546" s="226">
        <f>SUM(R547:R547)</f>
        <v>0</v>
      </c>
    </row>
    <row r="547" spans="1:18" s="94" customFormat="1" ht="145.5" customHeight="1">
      <c r="A547" s="955"/>
      <c r="B547" s="553" t="s">
        <v>947</v>
      </c>
      <c r="C547" s="83"/>
      <c r="D547" s="83"/>
      <c r="E547" s="83"/>
      <c r="F547" s="663" t="s">
        <v>1113</v>
      </c>
      <c r="G547" s="663" t="s">
        <v>1114</v>
      </c>
      <c r="H547" s="663" t="s">
        <v>810</v>
      </c>
      <c r="I547" s="467" t="s">
        <v>1171</v>
      </c>
      <c r="J547" s="467" t="s">
        <v>1172</v>
      </c>
      <c r="K547" s="469" t="s">
        <v>1170</v>
      </c>
      <c r="L547" s="553" t="s">
        <v>32</v>
      </c>
      <c r="M547" s="553" t="s">
        <v>38</v>
      </c>
      <c r="N547" s="87">
        <v>1000</v>
      </c>
      <c r="O547" s="91">
        <v>1000</v>
      </c>
      <c r="P547" s="91">
        <v>0</v>
      </c>
      <c r="Q547" s="91">
        <v>0</v>
      </c>
      <c r="R547" s="91">
        <v>0</v>
      </c>
    </row>
    <row r="548" spans="1:18" s="95" customFormat="1" ht="95.25" customHeight="1">
      <c r="A548" s="80" t="s">
        <v>582</v>
      </c>
      <c r="B548" s="729" t="s">
        <v>1283</v>
      </c>
      <c r="C548" s="80"/>
      <c r="D548" s="80"/>
      <c r="E548" s="80"/>
      <c r="F548" s="952" t="s">
        <v>1115</v>
      </c>
      <c r="G548" s="952" t="s">
        <v>1116</v>
      </c>
      <c r="H548" s="952" t="s">
        <v>810</v>
      </c>
      <c r="I548" s="224" t="s">
        <v>1023</v>
      </c>
      <c r="J548" s="733" t="s">
        <v>64</v>
      </c>
      <c r="K548" s="557" t="s">
        <v>108</v>
      </c>
      <c r="L548" s="85" t="s">
        <v>34</v>
      </c>
      <c r="M548" s="85" t="s">
        <v>32</v>
      </c>
      <c r="N548" s="81">
        <v>40</v>
      </c>
      <c r="O548" s="403">
        <v>40</v>
      </c>
      <c r="P548" s="348">
        <v>0</v>
      </c>
      <c r="Q548" s="348">
        <v>0</v>
      </c>
      <c r="R548" s="348">
        <v>0</v>
      </c>
    </row>
    <row r="549" spans="1:18" s="95" customFormat="1" ht="72.75" customHeight="1">
      <c r="A549" s="63"/>
      <c r="B549" s="730"/>
      <c r="C549" s="63"/>
      <c r="D549" s="63"/>
      <c r="E549" s="63"/>
      <c r="F549" s="953"/>
      <c r="G549" s="953"/>
      <c r="H549" s="953"/>
      <c r="I549" s="1" t="s">
        <v>1285</v>
      </c>
      <c r="J549" s="716" t="s">
        <v>64</v>
      </c>
      <c r="K549" s="667" t="s">
        <v>1286</v>
      </c>
      <c r="L549" s="49"/>
      <c r="M549" s="49"/>
      <c r="N549" s="569"/>
      <c r="O549" s="86"/>
      <c r="P549" s="86"/>
      <c r="Q549" s="86"/>
      <c r="R549" s="86"/>
    </row>
    <row r="550" spans="1:18" s="95" customFormat="1" ht="72">
      <c r="A550" s="524" t="s">
        <v>583</v>
      </c>
      <c r="B550" s="525" t="s">
        <v>1284</v>
      </c>
      <c r="C550" s="524"/>
      <c r="D550" s="524"/>
      <c r="E550" s="524"/>
      <c r="F550" s="524"/>
      <c r="G550" s="524"/>
      <c r="H550" s="524"/>
      <c r="I550" s="728" t="s">
        <v>1288</v>
      </c>
      <c r="J550" s="728" t="s">
        <v>64</v>
      </c>
      <c r="K550" s="520" t="s">
        <v>1289</v>
      </c>
      <c r="L550" s="526" t="s">
        <v>40</v>
      </c>
      <c r="M550" s="526" t="s">
        <v>40</v>
      </c>
      <c r="N550" s="545">
        <v>91.38</v>
      </c>
      <c r="O550" s="527">
        <v>91.385999999999996</v>
      </c>
      <c r="P550" s="527">
        <v>0</v>
      </c>
      <c r="Q550" s="527">
        <v>0</v>
      </c>
      <c r="R550" s="527">
        <v>0</v>
      </c>
    </row>
    <row r="551" spans="1:18" s="95" customFormat="1" ht="48">
      <c r="A551" s="484"/>
      <c r="B551" s="732"/>
      <c r="C551" s="484"/>
      <c r="D551" s="484"/>
      <c r="E551" s="484"/>
      <c r="F551" s="484"/>
      <c r="G551" s="484"/>
      <c r="H551" s="484"/>
      <c r="I551" s="487" t="s">
        <v>1294</v>
      </c>
      <c r="J551" s="487" t="s">
        <v>64</v>
      </c>
      <c r="K551" s="488" t="s">
        <v>1295</v>
      </c>
      <c r="L551" s="489"/>
      <c r="M551" s="489"/>
      <c r="N551" s="546"/>
      <c r="O551" s="490"/>
      <c r="P551" s="490"/>
      <c r="Q551" s="490"/>
      <c r="R551" s="490"/>
    </row>
    <row r="552" spans="1:18" s="95" customFormat="1" ht="85.5" hidden="1" customHeight="1">
      <c r="A552" s="480" t="s">
        <v>741</v>
      </c>
      <c r="B552" s="479" t="s">
        <v>1198</v>
      </c>
      <c r="C552" s="480"/>
      <c r="D552" s="480"/>
      <c r="E552" s="480"/>
      <c r="F552" s="678" t="s">
        <v>811</v>
      </c>
      <c r="G552" s="678" t="s">
        <v>812</v>
      </c>
      <c r="H552" s="678" t="s">
        <v>813</v>
      </c>
      <c r="I552" s="467" t="s">
        <v>1211</v>
      </c>
      <c r="J552" s="467" t="s">
        <v>64</v>
      </c>
      <c r="K552" s="469" t="s">
        <v>1202</v>
      </c>
      <c r="L552" s="485" t="s">
        <v>34</v>
      </c>
      <c r="M552" s="485" t="s">
        <v>32</v>
      </c>
      <c r="N552" s="570">
        <v>0</v>
      </c>
      <c r="O552" s="486">
        <v>0</v>
      </c>
      <c r="P552" s="486">
        <v>0</v>
      </c>
      <c r="Q552" s="486">
        <v>0</v>
      </c>
      <c r="R552" s="486">
        <v>0</v>
      </c>
    </row>
    <row r="553" spans="1:18" s="95" customFormat="1" ht="36" hidden="1">
      <c r="A553" s="483"/>
      <c r="B553" s="732"/>
      <c r="C553" s="484"/>
      <c r="D553" s="484"/>
      <c r="E553" s="484"/>
      <c r="F553" s="742"/>
      <c r="G553" s="742"/>
      <c r="H553" s="742"/>
      <c r="I553" s="487" t="s">
        <v>1200</v>
      </c>
      <c r="J553" s="487" t="s">
        <v>64</v>
      </c>
      <c r="K553" s="488" t="s">
        <v>1201</v>
      </c>
      <c r="L553" s="489"/>
      <c r="M553" s="489"/>
      <c r="N553" s="546"/>
      <c r="O553" s="490"/>
      <c r="P553" s="490"/>
      <c r="Q553" s="490"/>
      <c r="R553" s="490"/>
    </row>
    <row r="554" spans="1:18" s="94" customFormat="1" ht="72.75" customHeight="1">
      <c r="A554" s="45" t="s">
        <v>584</v>
      </c>
      <c r="B554" s="748" t="s">
        <v>585</v>
      </c>
      <c r="C554" s="35"/>
      <c r="D554" s="35"/>
      <c r="E554" s="35"/>
      <c r="F554" s="35"/>
      <c r="G554" s="35"/>
      <c r="H554" s="35"/>
      <c r="I554" s="681" t="s">
        <v>1205</v>
      </c>
      <c r="J554" s="66" t="s">
        <v>64</v>
      </c>
      <c r="K554" s="66" t="s">
        <v>1206</v>
      </c>
      <c r="L554" s="556" t="s">
        <v>29</v>
      </c>
      <c r="M554" s="556" t="s">
        <v>40</v>
      </c>
      <c r="N554" s="284">
        <v>1749.86</v>
      </c>
      <c r="O554" s="380">
        <v>1749.8620000000001</v>
      </c>
      <c r="P554" s="284">
        <v>0</v>
      </c>
      <c r="Q554" s="133">
        <v>0</v>
      </c>
      <c r="R554" s="133">
        <v>0</v>
      </c>
    </row>
    <row r="555" spans="1:18" s="94" customFormat="1" ht="12" customHeight="1">
      <c r="A555" s="897" t="s">
        <v>586</v>
      </c>
      <c r="B555" s="682" t="s">
        <v>754</v>
      </c>
      <c r="C555" s="429"/>
      <c r="D555" s="429"/>
      <c r="E555" s="429"/>
      <c r="F555" s="429"/>
      <c r="G555" s="429"/>
      <c r="H555" s="429"/>
      <c r="I555" s="138"/>
      <c r="J555" s="236"/>
      <c r="K555" s="236"/>
      <c r="L555" s="682" t="s">
        <v>34</v>
      </c>
      <c r="M555" s="682" t="s">
        <v>22</v>
      </c>
      <c r="N555" s="82">
        <f t="shared" ref="N555:Q555" si="79">SUM(N556:N557)</f>
        <v>458</v>
      </c>
      <c r="O555" s="82">
        <f t="shared" si="79"/>
        <v>458</v>
      </c>
      <c r="P555" s="82">
        <f t="shared" si="79"/>
        <v>0</v>
      </c>
      <c r="Q555" s="82">
        <f t="shared" si="79"/>
        <v>0</v>
      </c>
      <c r="R555" s="82">
        <f t="shared" ref="R555" si="80">SUM(R556:R557)</f>
        <v>0</v>
      </c>
    </row>
    <row r="556" spans="1:18" s="94" customFormat="1" ht="72" customHeight="1">
      <c r="A556" s="898"/>
      <c r="B556" s="553" t="s">
        <v>1219</v>
      </c>
      <c r="C556" s="756" t="s">
        <v>470</v>
      </c>
      <c r="D556" s="756" t="s">
        <v>472</v>
      </c>
      <c r="E556" s="756" t="s">
        <v>54</v>
      </c>
      <c r="F556" s="952" t="s">
        <v>1115</v>
      </c>
      <c r="G556" s="952" t="s">
        <v>1116</v>
      </c>
      <c r="H556" s="952" t="s">
        <v>810</v>
      </c>
      <c r="I556" s="138" t="s">
        <v>1226</v>
      </c>
      <c r="J556" s="236" t="s">
        <v>64</v>
      </c>
      <c r="K556" s="236" t="s">
        <v>1227</v>
      </c>
      <c r="L556" s="553"/>
      <c r="M556" s="553"/>
      <c r="N556" s="87">
        <v>45.8</v>
      </c>
      <c r="O556" s="87">
        <v>45.8</v>
      </c>
      <c r="P556" s="87">
        <v>0</v>
      </c>
      <c r="Q556" s="87">
        <v>0</v>
      </c>
      <c r="R556" s="87">
        <v>0</v>
      </c>
    </row>
    <row r="557" spans="1:18" s="94" customFormat="1" ht="72" customHeight="1">
      <c r="A557" s="954"/>
      <c r="B557" s="553" t="s">
        <v>1220</v>
      </c>
      <c r="C557" s="88"/>
      <c r="D557" s="88"/>
      <c r="E557" s="88"/>
      <c r="F557" s="953"/>
      <c r="G557" s="953"/>
      <c r="H557" s="953"/>
      <c r="I557" s="138" t="s">
        <v>1225</v>
      </c>
      <c r="J557" s="236" t="s">
        <v>64</v>
      </c>
      <c r="K557" s="236" t="s">
        <v>1223</v>
      </c>
      <c r="L557" s="553"/>
      <c r="M557" s="553"/>
      <c r="N557" s="87">
        <v>412.2</v>
      </c>
      <c r="O557" s="87">
        <v>412.2</v>
      </c>
      <c r="P557" s="87">
        <v>0</v>
      </c>
      <c r="Q557" s="87">
        <v>0</v>
      </c>
      <c r="R557" s="87">
        <v>0</v>
      </c>
    </row>
    <row r="558" spans="1:18" s="94" customFormat="1" ht="84.75" customHeight="1">
      <c r="A558" s="430" t="s">
        <v>587</v>
      </c>
      <c r="B558" s="431" t="s">
        <v>588</v>
      </c>
      <c r="C558" s="432"/>
      <c r="D558" s="432"/>
      <c r="E558" s="432"/>
      <c r="F558" s="432"/>
      <c r="G558" s="432"/>
      <c r="H558" s="433"/>
      <c r="I558" s="343" t="s">
        <v>1287</v>
      </c>
      <c r="J558" s="344" t="s">
        <v>64</v>
      </c>
      <c r="K558" s="344" t="s">
        <v>282</v>
      </c>
      <c r="L558" s="345" t="s">
        <v>24</v>
      </c>
      <c r="M558" s="345" t="s">
        <v>38</v>
      </c>
      <c r="N558" s="499">
        <v>73788.800000000003</v>
      </c>
      <c r="O558" s="330">
        <v>73788.800000000003</v>
      </c>
      <c r="P558" s="499">
        <v>72177.7</v>
      </c>
      <c r="Q558" s="447">
        <v>68347.899999999994</v>
      </c>
      <c r="R558" s="447">
        <v>66453.5</v>
      </c>
    </row>
    <row r="559" spans="1:18" s="95" customFormat="1" ht="59.25" hidden="1" customHeight="1">
      <c r="A559" s="45" t="s">
        <v>3</v>
      </c>
      <c r="B559" s="748" t="s">
        <v>291</v>
      </c>
      <c r="C559" s="45" t="s">
        <v>28</v>
      </c>
      <c r="D559" s="45" t="s">
        <v>28</v>
      </c>
      <c r="E559" s="45" t="s">
        <v>28</v>
      </c>
      <c r="F559" s="45" t="s">
        <v>28</v>
      </c>
      <c r="G559" s="45" t="s">
        <v>28</v>
      </c>
      <c r="H559" s="45" t="s">
        <v>28</v>
      </c>
      <c r="I559" s="1" t="s">
        <v>292</v>
      </c>
      <c r="J559" s="1" t="s">
        <v>64</v>
      </c>
      <c r="K559" s="6" t="s">
        <v>289</v>
      </c>
      <c r="L559" s="748" t="s">
        <v>32</v>
      </c>
      <c r="M559" s="748" t="s">
        <v>33</v>
      </c>
      <c r="N559" s="46"/>
      <c r="O559" s="379"/>
      <c r="P559" s="40"/>
      <c r="Q559" s="76"/>
      <c r="R559" s="76"/>
    </row>
    <row r="560" spans="1:18" s="94" customFormat="1" ht="59.25" hidden="1" customHeight="1">
      <c r="A560" s="56" t="s">
        <v>857</v>
      </c>
      <c r="B560" s="682" t="s">
        <v>858</v>
      </c>
      <c r="C560" s="663"/>
      <c r="D560" s="663"/>
      <c r="E560" s="663"/>
      <c r="F560" s="663" t="s">
        <v>859</v>
      </c>
      <c r="G560" s="663" t="s">
        <v>64</v>
      </c>
      <c r="H560" s="663" t="s">
        <v>860</v>
      </c>
      <c r="I560" s="275" t="s">
        <v>862</v>
      </c>
      <c r="J560" s="702" t="s">
        <v>64</v>
      </c>
      <c r="K560" s="702" t="s">
        <v>1018</v>
      </c>
      <c r="L560" s="682" t="s">
        <v>29</v>
      </c>
      <c r="M560" s="682" t="s">
        <v>34</v>
      </c>
      <c r="N560" s="82">
        <v>0</v>
      </c>
      <c r="O560" s="82">
        <v>0</v>
      </c>
      <c r="P560" s="82">
        <v>0</v>
      </c>
      <c r="Q560" s="82">
        <v>0</v>
      </c>
      <c r="R560" s="82">
        <v>0</v>
      </c>
    </row>
    <row r="561" spans="1:18" s="94" customFormat="1" ht="12.75" customHeight="1">
      <c r="A561" s="56" t="s">
        <v>951</v>
      </c>
      <c r="B561" s="682" t="s">
        <v>952</v>
      </c>
      <c r="C561" s="663"/>
      <c r="D561" s="663"/>
      <c r="E561" s="663"/>
      <c r="F561" s="663"/>
      <c r="G561" s="663"/>
      <c r="H561" s="663"/>
      <c r="I561" s="275"/>
      <c r="J561" s="702"/>
      <c r="K561" s="702"/>
      <c r="L561" s="682" t="s">
        <v>29</v>
      </c>
      <c r="M561" s="682" t="s">
        <v>23</v>
      </c>
      <c r="N561" s="82">
        <v>0</v>
      </c>
      <c r="O561" s="82">
        <v>0</v>
      </c>
      <c r="P561" s="82">
        <v>0</v>
      </c>
      <c r="Q561" s="82">
        <v>13747</v>
      </c>
      <c r="R561" s="82">
        <v>27670</v>
      </c>
    </row>
    <row r="562" spans="1:18" s="94" customFormat="1" ht="12" customHeight="1">
      <c r="A562" s="38" t="s">
        <v>50</v>
      </c>
      <c r="B562" s="688" t="s">
        <v>51</v>
      </c>
      <c r="C562" s="688" t="s">
        <v>26</v>
      </c>
      <c r="D562" s="688" t="s">
        <v>26</v>
      </c>
      <c r="E562" s="688" t="s">
        <v>26</v>
      </c>
      <c r="F562" s="688" t="s">
        <v>26</v>
      </c>
      <c r="G562" s="688" t="s">
        <v>26</v>
      </c>
      <c r="H562" s="688" t="s">
        <v>26</v>
      </c>
      <c r="I562" s="688" t="s">
        <v>26</v>
      </c>
      <c r="J562" s="688" t="s">
        <v>26</v>
      </c>
      <c r="K562" s="688" t="s">
        <v>26</v>
      </c>
      <c r="L562" s="688"/>
      <c r="M562" s="688"/>
      <c r="N562" s="48">
        <f>N6</f>
        <v>2222087.5080000004</v>
      </c>
      <c r="O562" s="268">
        <f>O6</f>
        <v>2092560.5970000005</v>
      </c>
      <c r="P562" s="268">
        <f>P6</f>
        <v>2219647.1379999998</v>
      </c>
      <c r="Q562" s="268">
        <f>Q6</f>
        <v>1550447.7049999998</v>
      </c>
      <c r="R562" s="268">
        <f>R6</f>
        <v>1492217.5380000002</v>
      </c>
    </row>
  </sheetData>
  <mergeCells count="599">
    <mergeCell ref="H73:H74"/>
    <mergeCell ref="A125:A126"/>
    <mergeCell ref="B125:B126"/>
    <mergeCell ref="H120:H122"/>
    <mergeCell ref="H125:H126"/>
    <mergeCell ref="H82:H83"/>
    <mergeCell ref="J97:J98"/>
    <mergeCell ref="F95:F96"/>
    <mergeCell ref="F97:F98"/>
    <mergeCell ref="F100:F101"/>
    <mergeCell ref="A87:A90"/>
    <mergeCell ref="A95:A96"/>
    <mergeCell ref="H108:H109"/>
    <mergeCell ref="G95:G96"/>
    <mergeCell ref="A106:A107"/>
    <mergeCell ref="A108:A109"/>
    <mergeCell ref="H110:H111"/>
    <mergeCell ref="F106:F107"/>
    <mergeCell ref="G106:G107"/>
    <mergeCell ref="H106:H107"/>
    <mergeCell ref="F108:F109"/>
    <mergeCell ref="G108:G109"/>
    <mergeCell ref="G92:G93"/>
    <mergeCell ref="H92:H93"/>
    <mergeCell ref="A267:A270"/>
    <mergeCell ref="B275:B276"/>
    <mergeCell ref="A235:A240"/>
    <mergeCell ref="D280:D281"/>
    <mergeCell ref="E156:E157"/>
    <mergeCell ref="A156:A157"/>
    <mergeCell ref="A171:A173"/>
    <mergeCell ref="A182:A184"/>
    <mergeCell ref="C237:C239"/>
    <mergeCell ref="A174:A177"/>
    <mergeCell ref="D241:D242"/>
    <mergeCell ref="F232:F234"/>
    <mergeCell ref="F256:F258"/>
    <mergeCell ref="F241:F243"/>
    <mergeCell ref="F247:F248"/>
    <mergeCell ref="F175:F176"/>
    <mergeCell ref="C241:C243"/>
    <mergeCell ref="C285:C286"/>
    <mergeCell ref="C280:C281"/>
    <mergeCell ref="E241:E242"/>
    <mergeCell ref="F125:F126"/>
    <mergeCell ref="G125:G126"/>
    <mergeCell ref="G120:G122"/>
    <mergeCell ref="F120:F122"/>
    <mergeCell ref="F110:F111"/>
    <mergeCell ref="G110:G111"/>
    <mergeCell ref="F135:F136"/>
    <mergeCell ref="F210:F211"/>
    <mergeCell ref="F191:F192"/>
    <mergeCell ref="F148:F149"/>
    <mergeCell ref="C436:C437"/>
    <mergeCell ref="D285:D286"/>
    <mergeCell ref="A308:A311"/>
    <mergeCell ref="A231:A234"/>
    <mergeCell ref="E27:E29"/>
    <mergeCell ref="F27:F29"/>
    <mergeCell ref="G27:G29"/>
    <mergeCell ref="A17:A19"/>
    <mergeCell ref="C18:C19"/>
    <mergeCell ref="D18:D19"/>
    <mergeCell ref="E18:E19"/>
    <mergeCell ref="A66:A67"/>
    <mergeCell ref="A68:A69"/>
    <mergeCell ref="A71:A72"/>
    <mergeCell ref="A73:A74"/>
    <mergeCell ref="G82:G83"/>
    <mergeCell ref="F82:F83"/>
    <mergeCell ref="G66:G67"/>
    <mergeCell ref="F65:F67"/>
    <mergeCell ref="A97:A98"/>
    <mergeCell ref="F73:F74"/>
    <mergeCell ref="G73:G74"/>
    <mergeCell ref="C129:C130"/>
    <mergeCell ref="E129:E130"/>
    <mergeCell ref="B27:B29"/>
    <mergeCell ref="C27:C29"/>
    <mergeCell ref="D27:D29"/>
    <mergeCell ref="D156:D157"/>
    <mergeCell ref="C156:C157"/>
    <mergeCell ref="A57:A58"/>
    <mergeCell ref="A62:A63"/>
    <mergeCell ref="A135:A136"/>
    <mergeCell ref="A151:A153"/>
    <mergeCell ref="D148:D149"/>
    <mergeCell ref="D129:D130"/>
    <mergeCell ref="A55:A56"/>
    <mergeCell ref="A92:A93"/>
    <mergeCell ref="B87:B90"/>
    <mergeCell ref="A110:A111"/>
    <mergeCell ref="A491:A493"/>
    <mergeCell ref="A480:A482"/>
    <mergeCell ref="A487:A488"/>
    <mergeCell ref="C481:C482"/>
    <mergeCell ref="A465:A466"/>
    <mergeCell ref="B465:B466"/>
    <mergeCell ref="C465:C466"/>
    <mergeCell ref="A467:A468"/>
    <mergeCell ref="B467:B468"/>
    <mergeCell ref="C467:C468"/>
    <mergeCell ref="C477:C479"/>
    <mergeCell ref="A461:A462"/>
    <mergeCell ref="B447:B448"/>
    <mergeCell ref="C447:C448"/>
    <mergeCell ref="A463:A464"/>
    <mergeCell ref="B463:B464"/>
    <mergeCell ref="C463:C464"/>
    <mergeCell ref="D463:D464"/>
    <mergeCell ref="E463:E464"/>
    <mergeCell ref="A472:A473"/>
    <mergeCell ref="B424:B425"/>
    <mergeCell ref="A419:A421"/>
    <mergeCell ref="C392:C393"/>
    <mergeCell ref="B392:B393"/>
    <mergeCell ref="A312:A313"/>
    <mergeCell ref="C315:C325"/>
    <mergeCell ref="C341:C342"/>
    <mergeCell ref="B315:B325"/>
    <mergeCell ref="A315:A325"/>
    <mergeCell ref="A326:A329"/>
    <mergeCell ref="A394:A397"/>
    <mergeCell ref="A416:A417"/>
    <mergeCell ref="C411:C412"/>
    <mergeCell ref="C419:C421"/>
    <mergeCell ref="C351:C353"/>
    <mergeCell ref="C423:C426"/>
    <mergeCell ref="C275:C276"/>
    <mergeCell ref="D275:D276"/>
    <mergeCell ref="D392:D393"/>
    <mergeCell ref="A275:A276"/>
    <mergeCell ref="G392:G393"/>
    <mergeCell ref="E285:E286"/>
    <mergeCell ref="B540:B541"/>
    <mergeCell ref="D481:D482"/>
    <mergeCell ref="D419:D421"/>
    <mergeCell ref="D411:D412"/>
    <mergeCell ref="E411:E412"/>
    <mergeCell ref="E419:E421"/>
    <mergeCell ref="F327:F329"/>
    <mergeCell ref="G315:G325"/>
    <mergeCell ref="F280:F281"/>
    <mergeCell ref="F285:F286"/>
    <mergeCell ref="G304:G305"/>
    <mergeCell ref="G306:G307"/>
    <mergeCell ref="F315:F325"/>
    <mergeCell ref="G275:G276"/>
    <mergeCell ref="C327:C329"/>
    <mergeCell ref="D327:D329"/>
    <mergeCell ref="A411:A413"/>
    <mergeCell ref="A424:A425"/>
    <mergeCell ref="J506:J507"/>
    <mergeCell ref="F472:F473"/>
    <mergeCell ref="F465:F466"/>
    <mergeCell ref="G465:G466"/>
    <mergeCell ref="H465:H466"/>
    <mergeCell ref="G472:G473"/>
    <mergeCell ref="F411:F413"/>
    <mergeCell ref="H467:H468"/>
    <mergeCell ref="G467:G468"/>
    <mergeCell ref="H447:H448"/>
    <mergeCell ref="G447:G448"/>
    <mergeCell ref="H436:H437"/>
    <mergeCell ref="G461:G462"/>
    <mergeCell ref="H472:H473"/>
    <mergeCell ref="F461:F462"/>
    <mergeCell ref="H419:H421"/>
    <mergeCell ref="H411:H412"/>
    <mergeCell ref="F423:F426"/>
    <mergeCell ref="F447:F448"/>
    <mergeCell ref="F506:F507"/>
    <mergeCell ref="H556:H557"/>
    <mergeCell ref="F556:F557"/>
    <mergeCell ref="G556:G557"/>
    <mergeCell ref="F548:F549"/>
    <mergeCell ref="H548:H549"/>
    <mergeCell ref="G548:G549"/>
    <mergeCell ref="G538:G539"/>
    <mergeCell ref="H538:H539"/>
    <mergeCell ref="A555:A557"/>
    <mergeCell ref="A546:A547"/>
    <mergeCell ref="A544:A545"/>
    <mergeCell ref="C540:C541"/>
    <mergeCell ref="D540:D541"/>
    <mergeCell ref="E540:E541"/>
    <mergeCell ref="A538:A539"/>
    <mergeCell ref="B538:B539"/>
    <mergeCell ref="C538:C539"/>
    <mergeCell ref="D538:D539"/>
    <mergeCell ref="A129:A130"/>
    <mergeCell ref="C148:C149"/>
    <mergeCell ref="G135:G136"/>
    <mergeCell ref="F254:F255"/>
    <mergeCell ref="G254:G255"/>
    <mergeCell ref="A140:A142"/>
    <mergeCell ref="C132:C133"/>
    <mergeCell ref="B148:B149"/>
    <mergeCell ref="G141:G142"/>
    <mergeCell ref="G223:G224"/>
    <mergeCell ref="A147:A149"/>
    <mergeCell ref="B143:B144"/>
    <mergeCell ref="A216:A217"/>
    <mergeCell ref="A143:A144"/>
    <mergeCell ref="A145:A146"/>
    <mergeCell ref="F138:F139"/>
    <mergeCell ref="G201:G202"/>
    <mergeCell ref="F145:F146"/>
    <mergeCell ref="F141:F142"/>
    <mergeCell ref="F201:F202"/>
    <mergeCell ref="A207:A208"/>
    <mergeCell ref="G220:G221"/>
    <mergeCell ref="F220:F222"/>
    <mergeCell ref="E148:E149"/>
    <mergeCell ref="E280:E281"/>
    <mergeCell ref="E275:E276"/>
    <mergeCell ref="D351:D352"/>
    <mergeCell ref="E538:E539"/>
    <mergeCell ref="H232:H234"/>
    <mergeCell ref="H254:H255"/>
    <mergeCell ref="H260:H261"/>
    <mergeCell ref="A542:A543"/>
    <mergeCell ref="B542:B543"/>
    <mergeCell ref="C542:C543"/>
    <mergeCell ref="D542:D543"/>
    <mergeCell ref="G419:G421"/>
    <mergeCell ref="G506:G507"/>
    <mergeCell ref="A540:A541"/>
    <mergeCell ref="A510:A511"/>
    <mergeCell ref="B510:B511"/>
    <mergeCell ref="C510:C511"/>
    <mergeCell ref="D510:D511"/>
    <mergeCell ref="D315:D325"/>
    <mergeCell ref="G327:G329"/>
    <mergeCell ref="A497:A499"/>
    <mergeCell ref="A447:A448"/>
    <mergeCell ref="A380:A383"/>
    <mergeCell ref="C305:C306"/>
    <mergeCell ref="D506:D507"/>
    <mergeCell ref="G521:G522"/>
    <mergeCell ref="F488:F489"/>
    <mergeCell ref="F481:F482"/>
    <mergeCell ref="E542:E543"/>
    <mergeCell ref="E305:E306"/>
    <mergeCell ref="E423:E426"/>
    <mergeCell ref="D423:D426"/>
    <mergeCell ref="G510:G511"/>
    <mergeCell ref="D447:D448"/>
    <mergeCell ref="E447:E448"/>
    <mergeCell ref="E436:E437"/>
    <mergeCell ref="D305:D306"/>
    <mergeCell ref="E510:E511"/>
    <mergeCell ref="F510:F511"/>
    <mergeCell ref="E481:E482"/>
    <mergeCell ref="F194:F196"/>
    <mergeCell ref="G194:G196"/>
    <mergeCell ref="F237:F239"/>
    <mergeCell ref="F260:F261"/>
    <mergeCell ref="G256:G258"/>
    <mergeCell ref="G232:G234"/>
    <mergeCell ref="F275:F276"/>
    <mergeCell ref="F223:F224"/>
    <mergeCell ref="H542:H543"/>
    <mergeCell ref="F521:F522"/>
    <mergeCell ref="H510:H511"/>
    <mergeCell ref="H304:H305"/>
    <mergeCell ref="G260:G261"/>
    <mergeCell ref="I256:I257"/>
    <mergeCell ref="I267:I268"/>
    <mergeCell ref="I233:I234"/>
    <mergeCell ref="I242:I244"/>
    <mergeCell ref="I280:I281"/>
    <mergeCell ref="G241:G243"/>
    <mergeCell ref="I264:I266"/>
    <mergeCell ref="G175:G176"/>
    <mergeCell ref="G138:G139"/>
    <mergeCell ref="H256:H258"/>
    <mergeCell ref="G148:G149"/>
    <mergeCell ref="H175:H176"/>
    <mergeCell ref="H241:H243"/>
    <mergeCell ref="H275:H276"/>
    <mergeCell ref="H138:H139"/>
    <mergeCell ref="H141:H142"/>
    <mergeCell ref="H220:H221"/>
    <mergeCell ref="H223:H224"/>
    <mergeCell ref="G210:G211"/>
    <mergeCell ref="H135:H136"/>
    <mergeCell ref="H210:H211"/>
    <mergeCell ref="H148:H149"/>
    <mergeCell ref="H201:H202"/>
    <mergeCell ref="F92:F93"/>
    <mergeCell ref="F68:F69"/>
    <mergeCell ref="H65:H67"/>
    <mergeCell ref="G51:G52"/>
    <mergeCell ref="J544:J545"/>
    <mergeCell ref="I544:I545"/>
    <mergeCell ref="M542:M543"/>
    <mergeCell ref="N542:N543"/>
    <mergeCell ref="O542:O543"/>
    <mergeCell ref="P542:P543"/>
    <mergeCell ref="Q542:Q543"/>
    <mergeCell ref="L542:L543"/>
    <mergeCell ref="J223:J224"/>
    <mergeCell ref="I183:I184"/>
    <mergeCell ref="I226:I228"/>
    <mergeCell ref="J183:J184"/>
    <mergeCell ref="J226:J228"/>
    <mergeCell ref="I135:I136"/>
    <mergeCell ref="I220:I222"/>
    <mergeCell ref="I223:I224"/>
    <mergeCell ref="G280:G281"/>
    <mergeCell ref="I129:I130"/>
    <mergeCell ref="I159:I160"/>
    <mergeCell ref="A2:A4"/>
    <mergeCell ref="K55:K56"/>
    <mergeCell ref="F55:F56"/>
    <mergeCell ref="C35:C36"/>
    <mergeCell ref="B20:B21"/>
    <mergeCell ref="H55:H56"/>
    <mergeCell ref="N2:R2"/>
    <mergeCell ref="D35:D36"/>
    <mergeCell ref="J51:J52"/>
    <mergeCell ref="N3:O3"/>
    <mergeCell ref="H35:H36"/>
    <mergeCell ref="A9:A10"/>
    <mergeCell ref="A11:A12"/>
    <mergeCell ref="B11:B12"/>
    <mergeCell ref="C11:C12"/>
    <mergeCell ref="E35:E36"/>
    <mergeCell ref="G35:G36"/>
    <mergeCell ref="F35:F36"/>
    <mergeCell ref="F51:F52"/>
    <mergeCell ref="I51:I52"/>
    <mergeCell ref="F39:F40"/>
    <mergeCell ref="A13:A16"/>
    <mergeCell ref="A27:A29"/>
    <mergeCell ref="D11:D12"/>
    <mergeCell ref="J260:J261"/>
    <mergeCell ref="I260:I261"/>
    <mergeCell ref="J280:J281"/>
    <mergeCell ref="J264:J266"/>
    <mergeCell ref="J285:J286"/>
    <mergeCell ref="K242:K243"/>
    <mergeCell ref="K260:K261"/>
    <mergeCell ref="J242:J243"/>
    <mergeCell ref="J61:J63"/>
    <mergeCell ref="I100:I101"/>
    <mergeCell ref="I108:I109"/>
    <mergeCell ref="J108:J109"/>
    <mergeCell ref="J100:J101"/>
    <mergeCell ref="I92:I93"/>
    <mergeCell ref="I61:I63"/>
    <mergeCell ref="J129:J130"/>
    <mergeCell ref="I171:I173"/>
    <mergeCell ref="J171:J173"/>
    <mergeCell ref="J135:J136"/>
    <mergeCell ref="K129:K130"/>
    <mergeCell ref="I68:I69"/>
    <mergeCell ref="J68:J69"/>
    <mergeCell ref="K68:K69"/>
    <mergeCell ref="J73:J74"/>
    <mergeCell ref="A1:Q1"/>
    <mergeCell ref="C2:K2"/>
    <mergeCell ref="C3:E3"/>
    <mergeCell ref="I3:K3"/>
    <mergeCell ref="F3:H3"/>
    <mergeCell ref="I55:I56"/>
    <mergeCell ref="J55:J56"/>
    <mergeCell ref="K51:K52"/>
    <mergeCell ref="P3:P4"/>
    <mergeCell ref="A35:A36"/>
    <mergeCell ref="B35:B36"/>
    <mergeCell ref="B46:B49"/>
    <mergeCell ref="B2:B4"/>
    <mergeCell ref="B9:B10"/>
    <mergeCell ref="H51:H52"/>
    <mergeCell ref="A51:A52"/>
    <mergeCell ref="A46:A49"/>
    <mergeCell ref="L2:M3"/>
    <mergeCell ref="A20:A21"/>
    <mergeCell ref="Q3:Q4"/>
    <mergeCell ref="G43:G44"/>
    <mergeCell ref="H11:H12"/>
    <mergeCell ref="F11:F12"/>
    <mergeCell ref="G11:G12"/>
    <mergeCell ref="H280:H281"/>
    <mergeCell ref="E11:E12"/>
    <mergeCell ref="Q467:Q468"/>
    <mergeCell ref="R467:R468"/>
    <mergeCell ref="K411:K412"/>
    <mergeCell ref="K419:K421"/>
    <mergeCell ref="F351:F352"/>
    <mergeCell ref="F341:F342"/>
    <mergeCell ref="F392:F393"/>
    <mergeCell ref="F430:F431"/>
    <mergeCell ref="F408:F410"/>
    <mergeCell ref="G408:G410"/>
    <mergeCell ref="H408:H410"/>
    <mergeCell ref="G423:G426"/>
    <mergeCell ref="G436:G437"/>
    <mergeCell ref="G411:G412"/>
    <mergeCell ref="Q465:Q466"/>
    <mergeCell ref="M465:M466"/>
    <mergeCell ref="P465:P466"/>
    <mergeCell ref="N463:N464"/>
    <mergeCell ref="O463:O464"/>
    <mergeCell ref="K431:K432"/>
    <mergeCell ref="R158:R159"/>
    <mergeCell ref="Q158:Q159"/>
    <mergeCell ref="L481:L482"/>
    <mergeCell ref="F477:F479"/>
    <mergeCell ref="G477:G479"/>
    <mergeCell ref="H481:H482"/>
    <mergeCell ref="K481:K482"/>
    <mergeCell ref="I481:I482"/>
    <mergeCell ref="J481:J482"/>
    <mergeCell ref="H477:H479"/>
    <mergeCell ref="G285:G286"/>
    <mergeCell ref="F419:F421"/>
    <mergeCell ref="F436:F437"/>
    <mergeCell ref="F434:F435"/>
    <mergeCell ref="I419:I421"/>
    <mergeCell ref="I411:I412"/>
    <mergeCell ref="I327:I329"/>
    <mergeCell ref="H315:H325"/>
    <mergeCell ref="L463:L464"/>
    <mergeCell ref="K461:K462"/>
    <mergeCell ref="L465:L466"/>
    <mergeCell ref="L447:L448"/>
    <mergeCell ref="F463:F464"/>
    <mergeCell ref="G463:G464"/>
    <mergeCell ref="H463:H464"/>
    <mergeCell ref="N158:N159"/>
    <mergeCell ref="K223:K224"/>
    <mergeCell ref="R275:R276"/>
    <mergeCell ref="K183:K184"/>
    <mergeCell ref="O275:O276"/>
    <mergeCell ref="P275:P276"/>
    <mergeCell ref="K315:K322"/>
    <mergeCell ref="Q275:Q276"/>
    <mergeCell ref="M188:M189"/>
    <mergeCell ref="L188:L189"/>
    <mergeCell ref="O158:O159"/>
    <mergeCell ref="P158:P159"/>
    <mergeCell ref="K293:K294"/>
    <mergeCell ref="K285:K286"/>
    <mergeCell ref="K226:K228"/>
    <mergeCell ref="K171:K173"/>
    <mergeCell ref="M158:M159"/>
    <mergeCell ref="L158:L159"/>
    <mergeCell ref="L275:L276"/>
    <mergeCell ref="M275:M276"/>
    <mergeCell ref="N275:N276"/>
    <mergeCell ref="K280:K281"/>
    <mergeCell ref="D436:D437"/>
    <mergeCell ref="H285:H286"/>
    <mergeCell ref="R465:R466"/>
    <mergeCell ref="R463:R464"/>
    <mergeCell ref="H392:H393"/>
    <mergeCell ref="H461:H462"/>
    <mergeCell ref="I461:I462"/>
    <mergeCell ref="J461:J462"/>
    <mergeCell ref="H351:H352"/>
    <mergeCell ref="I285:I286"/>
    <mergeCell ref="I392:I393"/>
    <mergeCell ref="F349:F350"/>
    <mergeCell ref="G351:G352"/>
    <mergeCell ref="H306:H307"/>
    <mergeCell ref="F304:F305"/>
    <mergeCell ref="F306:F307"/>
    <mergeCell ref="E315:E325"/>
    <mergeCell ref="E327:E329"/>
    <mergeCell ref="H327:H329"/>
    <mergeCell ref="E351:E352"/>
    <mergeCell ref="E392:E393"/>
    <mergeCell ref="J315:J322"/>
    <mergeCell ref="K408:K410"/>
    <mergeCell ref="J419:J421"/>
    <mergeCell ref="O447:O448"/>
    <mergeCell ref="P447:P448"/>
    <mergeCell ref="R447:R448"/>
    <mergeCell ref="N447:N448"/>
    <mergeCell ref="H423:H426"/>
    <mergeCell ref="P463:P464"/>
    <mergeCell ref="Q463:Q464"/>
    <mergeCell ref="Q447:Q448"/>
    <mergeCell ref="I293:I294"/>
    <mergeCell ref="J327:J329"/>
    <mergeCell ref="K327:K329"/>
    <mergeCell ref="K392:K393"/>
    <mergeCell ref="J323:J325"/>
    <mergeCell ref="I431:I432"/>
    <mergeCell ref="J293:J294"/>
    <mergeCell ref="J408:J410"/>
    <mergeCell ref="J392:J393"/>
    <mergeCell ref="K323:K325"/>
    <mergeCell ref="I408:I410"/>
    <mergeCell ref="J411:J412"/>
    <mergeCell ref="I323:I325"/>
    <mergeCell ref="I315:I322"/>
    <mergeCell ref="M463:M464"/>
    <mergeCell ref="M447:M448"/>
    <mergeCell ref="R542:R543"/>
    <mergeCell ref="A521:A522"/>
    <mergeCell ref="B521:B522"/>
    <mergeCell ref="A519:A520"/>
    <mergeCell ref="E521:E522"/>
    <mergeCell ref="C506:C507"/>
    <mergeCell ref="C521:C522"/>
    <mergeCell ref="D521:D522"/>
    <mergeCell ref="E506:E507"/>
    <mergeCell ref="H506:H507"/>
    <mergeCell ref="H521:H522"/>
    <mergeCell ref="K506:K507"/>
    <mergeCell ref="L540:L541"/>
    <mergeCell ref="M540:M541"/>
    <mergeCell ref="N540:N541"/>
    <mergeCell ref="O540:O541"/>
    <mergeCell ref="P540:P541"/>
    <mergeCell ref="Q540:Q541"/>
    <mergeCell ref="F540:F541"/>
    <mergeCell ref="G540:G541"/>
    <mergeCell ref="H540:H541"/>
    <mergeCell ref="F538:F539"/>
    <mergeCell ref="F542:F543"/>
    <mergeCell ref="G542:G543"/>
    <mergeCell ref="R540:R541"/>
    <mergeCell ref="L538:L539"/>
    <mergeCell ref="M538:M539"/>
    <mergeCell ref="N538:N539"/>
    <mergeCell ref="O538:O539"/>
    <mergeCell ref="P538:P539"/>
    <mergeCell ref="Q538:Q539"/>
    <mergeCell ref="R538:R539"/>
    <mergeCell ref="D465:D466"/>
    <mergeCell ref="E465:E466"/>
    <mergeCell ref="D467:D468"/>
    <mergeCell ref="E467:E468"/>
    <mergeCell ref="D477:D479"/>
    <mergeCell ref="E477:E479"/>
    <mergeCell ref="P467:P468"/>
    <mergeCell ref="L467:L468"/>
    <mergeCell ref="M467:M468"/>
    <mergeCell ref="N467:N468"/>
    <mergeCell ref="N465:N466"/>
    <mergeCell ref="O465:O466"/>
    <mergeCell ref="G481:G482"/>
    <mergeCell ref="F467:F468"/>
    <mergeCell ref="O467:O468"/>
    <mergeCell ref="M481:M482"/>
    <mergeCell ref="F71:F72"/>
    <mergeCell ref="G71:G72"/>
    <mergeCell ref="H71:H72"/>
    <mergeCell ref="F104:F105"/>
    <mergeCell ref="H104:H105"/>
    <mergeCell ref="K100:K101"/>
    <mergeCell ref="H57:H58"/>
    <mergeCell ref="K97:K98"/>
    <mergeCell ref="J95:J96"/>
    <mergeCell ref="H97:H98"/>
    <mergeCell ref="I97:I98"/>
    <mergeCell ref="J92:J93"/>
    <mergeCell ref="K95:K96"/>
    <mergeCell ref="K92:K93"/>
    <mergeCell ref="I95:I96"/>
    <mergeCell ref="H95:H96"/>
    <mergeCell ref="K61:K63"/>
    <mergeCell ref="G97:G98"/>
    <mergeCell ref="J57:J58"/>
    <mergeCell ref="I57:I58"/>
    <mergeCell ref="I73:I74"/>
    <mergeCell ref="F61:F63"/>
    <mergeCell ref="G61:G63"/>
    <mergeCell ref="H61:H63"/>
    <mergeCell ref="F18:F19"/>
    <mergeCell ref="G18:G19"/>
    <mergeCell ref="H18:H19"/>
    <mergeCell ref="I18:I19"/>
    <mergeCell ref="J18:J19"/>
    <mergeCell ref="K18:K19"/>
    <mergeCell ref="F43:F44"/>
    <mergeCell ref="G55:G56"/>
    <mergeCell ref="K57:K58"/>
    <mergeCell ref="G57:G58"/>
    <mergeCell ref="H43:H44"/>
    <mergeCell ref="F57:F58"/>
    <mergeCell ref="H27:H29"/>
    <mergeCell ref="K73:K74"/>
    <mergeCell ref="I110:I111"/>
    <mergeCell ref="J110:J111"/>
    <mergeCell ref="K110:K111"/>
    <mergeCell ref="I71:I72"/>
    <mergeCell ref="J71:J72"/>
    <mergeCell ref="K71:K72"/>
    <mergeCell ref="I106:I107"/>
    <mergeCell ref="J106:J107"/>
    <mergeCell ref="K106:K107"/>
    <mergeCell ref="K108:K109"/>
  </mergeCells>
  <phoneticPr fontId="0" type="noConversion"/>
  <pageMargins left="0.15748031496062992" right="0" top="0.92519685039370081" bottom="0.6692913385826772" header="0.39370078740157483" footer="0.39370078740157483"/>
  <pageSetup paperSize="9" scale="61" orientation="landscape" r:id="rId1"/>
  <headerFooter alignWithMargins="0">
    <oddFooter>&amp;L&amp;C&amp;"Arial"&amp;10&amp;P &amp;R</oddFooter>
  </headerFooter>
</worksheet>
</file>

<file path=xl/worksheets/sheet2.xml><?xml version="1.0" encoding="utf-8"?>
<worksheet xmlns="http://schemas.openxmlformats.org/spreadsheetml/2006/main" xmlns:r="http://schemas.openxmlformats.org/officeDocument/2006/relationships">
  <dimension ref="A2:FK44"/>
  <sheetViews>
    <sheetView zoomScaleNormal="100" workbookViewId="0">
      <pane xSplit="1" ySplit="2" topLeftCell="BL3" activePane="bottomRight" state="frozen"/>
      <selection pane="topRight" activeCell="B1" sqref="B1"/>
      <selection pane="bottomLeft" activeCell="A3" sqref="A3"/>
      <selection pane="bottomRight" activeCell="T27" sqref="T27"/>
    </sheetView>
  </sheetViews>
  <sheetFormatPr defaultRowHeight="12.75"/>
  <cols>
    <col min="1" max="1" width="6" style="104" customWidth="1"/>
    <col min="2" max="3" width="7.140625" style="105" customWidth="1"/>
    <col min="4" max="4" width="6.7109375" style="105" customWidth="1"/>
    <col min="5" max="5" width="4.7109375" style="105" customWidth="1"/>
    <col min="6" max="7" width="7.28515625" style="105" customWidth="1"/>
    <col min="8" max="9" width="7.140625" style="105" customWidth="1"/>
    <col min="10" max="13" width="7.5703125" style="105" customWidth="1"/>
    <col min="14" max="15" width="9.7109375" style="105" customWidth="1"/>
    <col min="16" max="17" width="8.85546875" style="105" customWidth="1"/>
    <col min="18" max="19" width="8.28515625" style="105" customWidth="1"/>
    <col min="20" max="21" width="8.140625" style="105" customWidth="1"/>
    <col min="22" max="23" width="7.7109375" style="105" customWidth="1"/>
    <col min="24" max="25" width="6" style="105" customWidth="1"/>
    <col min="26" max="26" width="7.42578125" style="105" customWidth="1"/>
    <col min="27" max="27" width="8.85546875" style="105" customWidth="1"/>
    <col min="28" max="29" width="7.85546875" style="105" customWidth="1"/>
    <col min="30" max="33" width="8.28515625" style="105" customWidth="1"/>
    <col min="34" max="37" width="6.28515625" style="105" customWidth="1"/>
    <col min="38" max="39" width="9.28515625" style="105" customWidth="1"/>
    <col min="40" max="41" width="7.7109375" style="105" customWidth="1"/>
    <col min="42" max="43" width="8.42578125" style="105" customWidth="1"/>
    <col min="44" max="44" width="9.140625" style="105" customWidth="1"/>
    <col min="45" max="45" width="8.42578125" style="105" customWidth="1"/>
    <col min="46" max="47" width="6.7109375" style="105" hidden="1" customWidth="1"/>
    <col min="48" max="48" width="9.42578125" style="105" customWidth="1"/>
    <col min="49" max="49" width="6.7109375" style="105" customWidth="1"/>
    <col min="50" max="51" width="7.85546875" style="105" customWidth="1"/>
    <col min="52" max="53" width="6.7109375" style="105" customWidth="1"/>
    <col min="54" max="57" width="8.7109375" style="105" customWidth="1"/>
    <col min="58" max="59" width="8.140625" style="27" customWidth="1"/>
    <col min="60" max="61" width="8.7109375" style="27" customWidth="1"/>
    <col min="62" max="63" width="8.5703125" style="27" customWidth="1"/>
    <col min="64" max="67" width="8.140625" style="27" customWidth="1"/>
    <col min="68" max="69" width="6.140625" style="27" customWidth="1"/>
    <col min="70" max="71" width="6.28515625" style="27" customWidth="1"/>
    <col min="72" max="73" width="8.42578125" style="27" customWidth="1"/>
    <col min="74" max="75" width="7.7109375" style="27" customWidth="1"/>
    <col min="76" max="79" width="7.42578125" style="27" customWidth="1"/>
    <col min="80" max="81" width="8.85546875" style="27" customWidth="1"/>
    <col min="82" max="82" width="9.5703125" style="27" customWidth="1"/>
    <col min="83" max="83" width="9.42578125" style="27" customWidth="1"/>
    <col min="84" max="84" width="9.5703125" style="27" customWidth="1"/>
    <col min="85" max="85" width="9.42578125" style="27" customWidth="1"/>
    <col min="86" max="87" width="7.140625" style="27" customWidth="1"/>
    <col min="88" max="89" width="7.42578125" style="27" customWidth="1"/>
    <col min="90" max="91" width="7.28515625" style="27" customWidth="1"/>
    <col min="92" max="93" width="6.140625" style="27" hidden="1" customWidth="1"/>
    <col min="94" max="95" width="6.85546875" style="27" customWidth="1"/>
    <col min="96" max="97" width="6.140625" style="27" hidden="1" customWidth="1"/>
    <col min="98" max="98" width="7.42578125" style="27" hidden="1" customWidth="1"/>
    <col min="99" max="99" width="6.28515625" style="27" hidden="1" customWidth="1"/>
    <col min="100" max="101" width="7.5703125" style="27" hidden="1" customWidth="1"/>
    <col min="102" max="107" width="7.42578125" style="27" hidden="1" customWidth="1"/>
    <col min="108" max="108" width="7.28515625" style="27" hidden="1" customWidth="1"/>
    <col min="109" max="109" width="6.7109375" style="27" hidden="1" customWidth="1"/>
    <col min="110" max="111" width="9" style="27" hidden="1" customWidth="1"/>
    <col min="112" max="113" width="7.5703125" style="27" hidden="1" customWidth="1"/>
    <col min="114" max="115" width="9.140625" style="27" hidden="1" customWidth="1"/>
    <col min="116" max="117" width="11.28515625" style="27" hidden="1" customWidth="1"/>
    <col min="118" max="119" width="8.85546875" style="27" hidden="1" customWidth="1"/>
    <col min="120" max="121" width="8" style="27" hidden="1" customWidth="1"/>
    <col min="122" max="123" width="8.42578125" style="27" hidden="1" customWidth="1"/>
    <col min="124" max="125" width="5.85546875" style="27" hidden="1" customWidth="1"/>
    <col min="126" max="127" width="9.5703125" style="27" hidden="1" customWidth="1"/>
    <col min="128" max="129" width="8.42578125" style="27" hidden="1" customWidth="1"/>
    <col min="130" max="131" width="6.7109375" style="27" hidden="1" customWidth="1"/>
    <col min="132" max="132" width="9.42578125" style="27" hidden="1" customWidth="1"/>
    <col min="133" max="133" width="9.140625" style="27" hidden="1" customWidth="1"/>
    <col min="134" max="135" width="6.5703125" style="27" hidden="1" customWidth="1"/>
    <col min="136" max="137" width="7.5703125" style="27" hidden="1" customWidth="1"/>
    <col min="138" max="138" width="8.85546875" style="27" hidden="1" customWidth="1"/>
    <col min="139" max="139" width="9.7109375" style="27" hidden="1" customWidth="1"/>
    <col min="140" max="143" width="8.7109375" style="27" hidden="1" customWidth="1"/>
    <col min="144" max="145" width="7.85546875" style="27" hidden="1" customWidth="1"/>
    <col min="146" max="147" width="7.28515625" style="27" hidden="1" customWidth="1"/>
    <col min="148" max="148" width="8.42578125" style="27" hidden="1" customWidth="1"/>
    <col min="149" max="149" width="8.28515625" style="27" hidden="1" customWidth="1"/>
    <col min="150" max="155" width="8.85546875" style="27" hidden="1" customWidth="1"/>
    <col min="156" max="161" width="6" style="27" hidden="1" customWidth="1"/>
    <col min="162" max="163" width="9" style="27" hidden="1" customWidth="1"/>
    <col min="164" max="165" width="9.28515625" style="27" hidden="1" customWidth="1"/>
    <col min="166" max="167" width="12" style="27" customWidth="1"/>
    <col min="168" max="16384" width="9.140625" style="27"/>
  </cols>
  <sheetData>
    <row r="2" spans="1:167" s="101" customFormat="1">
      <c r="A2" s="100"/>
      <c r="B2" s="1013" t="s">
        <v>31</v>
      </c>
      <c r="C2" s="1014"/>
      <c r="D2" s="1013" t="s">
        <v>361</v>
      </c>
      <c r="E2" s="1014"/>
      <c r="F2" s="1013" t="s">
        <v>36</v>
      </c>
      <c r="G2" s="1014"/>
      <c r="H2" s="1013" t="s">
        <v>511</v>
      </c>
      <c r="I2" s="1014"/>
      <c r="J2" s="1013" t="s">
        <v>356</v>
      </c>
      <c r="K2" s="1014"/>
      <c r="L2" s="1013" t="s">
        <v>39</v>
      </c>
      <c r="M2" s="1014"/>
      <c r="N2" s="1013" t="s">
        <v>615</v>
      </c>
      <c r="O2" s="1014"/>
      <c r="P2" s="1013" t="s">
        <v>354</v>
      </c>
      <c r="Q2" s="1014"/>
      <c r="R2" s="1013" t="s">
        <v>492</v>
      </c>
      <c r="S2" s="1014"/>
      <c r="T2" s="1013" t="s">
        <v>517</v>
      </c>
      <c r="U2" s="1014"/>
      <c r="V2" s="1013" t="s">
        <v>496</v>
      </c>
      <c r="W2" s="1014"/>
      <c r="X2" s="1013" t="s">
        <v>41</v>
      </c>
      <c r="Y2" s="1014"/>
      <c r="Z2" s="1013" t="s">
        <v>497</v>
      </c>
      <c r="AA2" s="1014"/>
      <c r="AB2" s="1013" t="s">
        <v>608</v>
      </c>
      <c r="AC2" s="1014"/>
      <c r="AD2" s="1013" t="s">
        <v>491</v>
      </c>
      <c r="AE2" s="1014"/>
      <c r="AF2" s="1013" t="s">
        <v>742</v>
      </c>
      <c r="AG2" s="1014"/>
      <c r="AH2" s="1013" t="s">
        <v>613</v>
      </c>
      <c r="AI2" s="1014"/>
      <c r="AJ2" s="1013" t="s">
        <v>614</v>
      </c>
      <c r="AK2" s="1014"/>
      <c r="AL2" s="1013" t="s">
        <v>526</v>
      </c>
      <c r="AM2" s="1014"/>
      <c r="AN2" s="1013" t="s">
        <v>528</v>
      </c>
      <c r="AO2" s="1014"/>
      <c r="AP2" s="1013" t="s">
        <v>530</v>
      </c>
      <c r="AQ2" s="1014"/>
      <c r="AR2" s="1013" t="s">
        <v>618</v>
      </c>
      <c r="AS2" s="1014"/>
      <c r="AT2" s="1013" t="s">
        <v>42</v>
      </c>
      <c r="AU2" s="1014"/>
      <c r="AV2" s="1013" t="s">
        <v>908</v>
      </c>
      <c r="AW2" s="1014"/>
      <c r="AX2" s="1013" t="s">
        <v>840</v>
      </c>
      <c r="AY2" s="1014"/>
      <c r="AZ2" s="1013" t="s">
        <v>912</v>
      </c>
      <c r="BA2" s="1014"/>
      <c r="BB2" s="1013" t="s">
        <v>616</v>
      </c>
      <c r="BC2" s="1014"/>
      <c r="BD2" s="1013" t="s">
        <v>766</v>
      </c>
      <c r="BE2" s="1014"/>
      <c r="BF2" s="1013" t="s">
        <v>45</v>
      </c>
      <c r="BG2" s="1014"/>
      <c r="BH2" s="1013" t="s">
        <v>617</v>
      </c>
      <c r="BI2" s="1014"/>
      <c r="BJ2" s="1013" t="s">
        <v>981</v>
      </c>
      <c r="BK2" s="1014"/>
      <c r="BL2" s="1013" t="s">
        <v>488</v>
      </c>
      <c r="BM2" s="1014"/>
      <c r="BN2" s="1013" t="s">
        <v>493</v>
      </c>
      <c r="BO2" s="1014"/>
      <c r="BP2" s="1013" t="s">
        <v>642</v>
      </c>
      <c r="BQ2" s="1014"/>
      <c r="BR2" s="1013" t="s">
        <v>489</v>
      </c>
      <c r="BS2" s="1014"/>
      <c r="BT2" s="1013" t="s">
        <v>609</v>
      </c>
      <c r="BU2" s="1014"/>
      <c r="BV2" s="1013" t="s">
        <v>607</v>
      </c>
      <c r="BW2" s="1014"/>
      <c r="BX2" s="1013" t="s">
        <v>752</v>
      </c>
      <c r="BY2" s="1014"/>
      <c r="BZ2" s="1013" t="s">
        <v>606</v>
      </c>
      <c r="CA2" s="1014"/>
      <c r="CB2" s="1013" t="s">
        <v>976</v>
      </c>
      <c r="CC2" s="1014"/>
      <c r="CD2" s="1013" t="s">
        <v>820</v>
      </c>
      <c r="CE2" s="1014"/>
      <c r="CF2" s="1013" t="s">
        <v>975</v>
      </c>
      <c r="CG2" s="1014"/>
      <c r="CH2" s="1013" t="s">
        <v>490</v>
      </c>
      <c r="CI2" s="1014"/>
      <c r="CJ2" s="1013" t="s">
        <v>49</v>
      </c>
      <c r="CK2" s="1014"/>
      <c r="CL2" s="1013" t="s">
        <v>610</v>
      </c>
      <c r="CM2" s="1014"/>
      <c r="CN2" s="1013" t="s">
        <v>611</v>
      </c>
      <c r="CO2" s="1014"/>
      <c r="CP2" s="1013" t="s">
        <v>612</v>
      </c>
      <c r="CQ2" s="1014"/>
      <c r="CR2" s="1013" t="s">
        <v>620</v>
      </c>
      <c r="CS2" s="1014"/>
      <c r="CT2" s="1013" t="s">
        <v>628</v>
      </c>
      <c r="CU2" s="1014"/>
      <c r="CV2" s="1013" t="s">
        <v>623</v>
      </c>
      <c r="CW2" s="1014"/>
      <c r="CX2" s="1013" t="s">
        <v>498</v>
      </c>
      <c r="CY2" s="1014"/>
      <c r="CZ2" s="1013" t="s">
        <v>619</v>
      </c>
      <c r="DA2" s="1014"/>
      <c r="DB2" s="1013" t="s">
        <v>621</v>
      </c>
      <c r="DC2" s="1014"/>
      <c r="DD2" s="1013" t="s">
        <v>624</v>
      </c>
      <c r="DE2" s="1014"/>
      <c r="DF2" s="1013" t="s">
        <v>627</v>
      </c>
      <c r="DG2" s="1014"/>
      <c r="DH2" s="1013" t="s">
        <v>622</v>
      </c>
      <c r="DI2" s="1014"/>
      <c r="DJ2" s="1013" t="s">
        <v>626</v>
      </c>
      <c r="DK2" s="1014"/>
      <c r="DL2" s="1013" t="s">
        <v>625</v>
      </c>
      <c r="DM2" s="1014"/>
      <c r="DN2" s="1013" t="s">
        <v>641</v>
      </c>
      <c r="DO2" s="1014"/>
      <c r="DP2" s="1013" t="s">
        <v>630</v>
      </c>
      <c r="DQ2" s="1014"/>
      <c r="DR2" s="1013" t="s">
        <v>638</v>
      </c>
      <c r="DS2" s="1014"/>
      <c r="DT2" s="1013" t="s">
        <v>629</v>
      </c>
      <c r="DU2" s="1014"/>
      <c r="DV2" s="1013" t="s">
        <v>636</v>
      </c>
      <c r="DW2" s="1014"/>
      <c r="DX2" s="1013" t="s">
        <v>633</v>
      </c>
      <c r="DY2" s="1014"/>
      <c r="DZ2" s="1013" t="s">
        <v>565</v>
      </c>
      <c r="EA2" s="1014"/>
      <c r="EB2" s="1013" t="s">
        <v>566</v>
      </c>
      <c r="EC2" s="1014"/>
      <c r="ED2" s="1013" t="s">
        <v>568</v>
      </c>
      <c r="EE2" s="1014"/>
      <c r="EF2" s="1013" t="s">
        <v>631</v>
      </c>
      <c r="EG2" s="1014"/>
      <c r="EH2" s="1013" t="s">
        <v>634</v>
      </c>
      <c r="EI2" s="1014"/>
      <c r="EJ2" s="1013" t="s">
        <v>721</v>
      </c>
      <c r="EK2" s="1014"/>
      <c r="EL2" s="1013" t="s">
        <v>730</v>
      </c>
      <c r="EM2" s="1014"/>
      <c r="EN2" s="1013" t="s">
        <v>640</v>
      </c>
      <c r="EO2" s="1014"/>
      <c r="EP2" s="1013" t="s">
        <v>575</v>
      </c>
      <c r="EQ2" s="1014"/>
      <c r="ER2" s="1013" t="s">
        <v>755</v>
      </c>
      <c r="ES2" s="1014"/>
      <c r="ET2" s="1013" t="s">
        <v>637</v>
      </c>
      <c r="EU2" s="1014"/>
      <c r="EV2" s="1013" t="s">
        <v>708</v>
      </c>
      <c r="EW2" s="1014"/>
      <c r="EX2" s="1013" t="s">
        <v>726</v>
      </c>
      <c r="EY2" s="1014"/>
      <c r="EZ2" s="1013" t="s">
        <v>632</v>
      </c>
      <c r="FA2" s="1014"/>
      <c r="FB2" s="1013" t="s">
        <v>753</v>
      </c>
      <c r="FC2" s="1014"/>
      <c r="FD2" s="1013" t="s">
        <v>754</v>
      </c>
      <c r="FE2" s="1014"/>
      <c r="FF2" s="1013" t="s">
        <v>588</v>
      </c>
      <c r="FG2" s="1014"/>
      <c r="FH2" s="1013" t="s">
        <v>639</v>
      </c>
      <c r="FI2" s="1014"/>
      <c r="FJ2" s="1015" t="s">
        <v>374</v>
      </c>
      <c r="FK2" s="1015"/>
    </row>
    <row r="3" spans="1:167">
      <c r="A3" s="102" t="s">
        <v>347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v>559.1</v>
      </c>
      <c r="BM3" s="26">
        <v>558.98699999999997</v>
      </c>
      <c r="BN3" s="26">
        <v>2326.5</v>
      </c>
      <c r="BO3" s="26">
        <v>2326.4850000000001</v>
      </c>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157">
        <f>B3+D3+F3+H3+J3+L3+N3+P3+R3+T3+V3+X3+Z3+AB3+AD3+AF3+AH3+AJ3+AL3+AN3+AP3+AR3+AT3+AV3+AX3+AZ3+BB3+BD3+BF3+BH3+BJ3+BL3+BN3+BP3+BR3+BT3+BV3+BX3+BZ3+CB3+CD3+CF3+CH3+CJ3+CL3+CN3+CP3+CR3+CT3+CV3+CX3+CZ3+DB3+DD3+DF3+DH3+DJ3+DL3+DN3+DP3+DR3+DT3+DV3+DX3+DZ3+EB3+ED3+EF3+EH3+EN3+EP3+ET3+EZ3+FF3+FH3</f>
        <v>2885.6</v>
      </c>
      <c r="FK3" s="157">
        <f>C3+E3+G3+I3+K3+M3+O3+Q3+S3+U3+W3+Y3+AA3+AC3+AE3+AG3+AI3+AK3+AM3+AO3+AQ3+AS3+AU3+AW3+AY3+BA3+BC3+BE3+BG3+BI3+BK3+BM3+BO3+BQ3+BS3+BU3+BW3+BY3+CA3+CC3+CE3+CG3+CI3+CK3+CM3+CO3+CQ3+CS3+CU3+CW3+CY3+DA3+DC3+DE3+DG3+DI3+DK3+DM3+DO3+DQ3+DS3+DU3+DW3+DY3+EA3+EC3+EE3+EG3+EI3+EO3+EQ3+EU3+FA3+FG3+FI3</f>
        <v>2885.4720000000002</v>
      </c>
    </row>
    <row r="4" spans="1:167">
      <c r="A4" s="102" t="s">
        <v>348</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v>895.1</v>
      </c>
      <c r="BM4" s="26">
        <v>892.79200000000003</v>
      </c>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157">
        <f t="shared" ref="FJ4:FJ41" si="0">B4+D4+F4+H4+J4+L4+N4+P4+R4+T4+V4+X4+Z4+AB4+AD4+AF4+AH4+AJ4+AL4+AN4+AP4+AR4+AT4+AV4+AX4+AZ4+BB4+BD4+BF4+BH4+BJ4+BL4+BN4+BP4+BR4+BT4+BV4+BX4+BZ4+CB4+CD4+CF4+CH4+CJ4+CL4+CN4+CP4+CR4+CT4+CV4+CX4+CZ4+DB4+DD4+DF4+DH4+DJ4+DL4+DN4+DP4+DR4+DT4+DV4+DX4+DZ4+EB4+ED4+EF4+EH4+EN4+EP4+ET4+EZ4+FF4+FH4</f>
        <v>895.1</v>
      </c>
      <c r="FK4" s="157">
        <f t="shared" ref="FK4:FK41" si="1">C4+E4+G4+I4+K4+M4+O4+Q4+S4+U4+W4+Y4+AA4+AC4+AE4+AG4+AI4+AK4+AM4+AO4+AQ4+AS4+AU4+AW4+AY4+BA4+BC4+BE4+BG4+BI4+BK4+BM4+BO4+BQ4+BS4+BU4+BW4+BY4+CA4+CC4+CE4+CG4+CI4+CK4+CM4+CO4+CQ4+CS4+CU4+CW4+CY4+DA4+DC4+DE4+DG4+DI4+DK4+DM4+DO4+DQ4+DS4+DU4+DW4+DY4+EA4+EC4+EE4+EG4+EI4+EO4+EQ4+EU4+FA4+FG4+FI4</f>
        <v>892.79200000000003</v>
      </c>
    </row>
    <row r="5" spans="1:167">
      <c r="A5" s="102" t="s">
        <v>349</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f>891.951+23988.938+58.991</f>
        <v>24939.88</v>
      </c>
      <c r="BM5" s="26">
        <f>878.917+23104.467+58.991</f>
        <v>24042.375000000004</v>
      </c>
      <c r="BN5" s="26">
        <v>33635.737999999998</v>
      </c>
      <c r="BO5" s="26">
        <v>33455.084000000003</v>
      </c>
      <c r="BP5" s="26"/>
      <c r="BQ5" s="26"/>
      <c r="BR5" s="26">
        <v>910</v>
      </c>
      <c r="BS5" s="26">
        <v>910</v>
      </c>
      <c r="BT5" s="26"/>
      <c r="BU5" s="26"/>
      <c r="BV5" s="26"/>
      <c r="BW5" s="26"/>
      <c r="BX5" s="26"/>
      <c r="BY5" s="26"/>
      <c r="BZ5" s="26">
        <v>785.22299999999996</v>
      </c>
      <c r="CA5" s="26">
        <v>785.22299999999996</v>
      </c>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157">
        <f t="shared" si="0"/>
        <v>60270.841</v>
      </c>
      <c r="FK5" s="157">
        <f t="shared" si="1"/>
        <v>59192.682000000001</v>
      </c>
    </row>
    <row r="6" spans="1:167">
      <c r="A6" s="102" t="s">
        <v>402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157">
        <f t="shared" si="0"/>
        <v>0</v>
      </c>
      <c r="FK6" s="157">
        <f t="shared" si="1"/>
        <v>0</v>
      </c>
    </row>
    <row r="7" spans="1:167">
      <c r="A7" s="102" t="s">
        <v>350</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f>6089.63+280.8</f>
        <v>6370.43</v>
      </c>
      <c r="BM7" s="26">
        <f>5998.765+280.795</f>
        <v>6279.56</v>
      </c>
      <c r="BN7" s="26">
        <f>14777.844+934.133</f>
        <v>15711.976999999999</v>
      </c>
      <c r="BO7" s="26">
        <f>14754.506+933.784</f>
        <v>15688.289999999999</v>
      </c>
      <c r="BP7" s="26"/>
      <c r="BQ7" s="26"/>
      <c r="BR7" s="26"/>
      <c r="BS7" s="26"/>
      <c r="BT7" s="26"/>
      <c r="BU7" s="26"/>
      <c r="BV7" s="26"/>
      <c r="BW7" s="26"/>
      <c r="BX7" s="26"/>
      <c r="BY7" s="26"/>
      <c r="BZ7" s="26">
        <v>364.67599999999999</v>
      </c>
      <c r="CA7" s="26">
        <v>364.67599999999999</v>
      </c>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157">
        <f t="shared" si="0"/>
        <v>22447.082999999999</v>
      </c>
      <c r="FK7" s="157">
        <f t="shared" si="1"/>
        <v>22332.525999999998</v>
      </c>
    </row>
    <row r="8" spans="1:167">
      <c r="A8" s="102" t="s">
        <v>408</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f>334.5+228.661</f>
        <v>563.16100000000006</v>
      </c>
      <c r="BW8" s="26">
        <f>334.5+228.661</f>
        <v>563.16100000000006</v>
      </c>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157">
        <f t="shared" si="0"/>
        <v>563.16100000000006</v>
      </c>
      <c r="FK8" s="157">
        <f t="shared" si="1"/>
        <v>563.16100000000006</v>
      </c>
    </row>
    <row r="9" spans="1:167">
      <c r="A9" s="102" t="s">
        <v>351</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157">
        <f t="shared" si="0"/>
        <v>0</v>
      </c>
      <c r="FK9" s="157">
        <f t="shared" si="1"/>
        <v>0</v>
      </c>
    </row>
    <row r="10" spans="1:167">
      <c r="A10" s="102" t="s">
        <v>352</v>
      </c>
      <c r="B10" s="26">
        <f>4742.143+1414.28</f>
        <v>6156.4229999999998</v>
      </c>
      <c r="C10" s="26">
        <f>4577.337+1414.28</f>
        <v>5991.6170000000002</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f>2801.137+11.284</f>
        <v>2812.4210000000003</v>
      </c>
      <c r="AC10" s="26">
        <f>2797.538+10.912</f>
        <v>2808.45</v>
      </c>
      <c r="AD10" s="26"/>
      <c r="AE10" s="26"/>
      <c r="AF10" s="26"/>
      <c r="AG10" s="26"/>
      <c r="AH10" s="26"/>
      <c r="AI10" s="26"/>
      <c r="AJ10" s="26"/>
      <c r="AK10" s="26"/>
      <c r="AL10" s="26"/>
      <c r="AM10" s="26"/>
      <c r="AN10" s="26">
        <f>1954.8+3207.482</f>
        <v>5162.2820000000002</v>
      </c>
      <c r="AO10" s="26">
        <f>1928.897+3207.482</f>
        <v>5136.3789999999999</v>
      </c>
      <c r="AP10" s="26"/>
      <c r="AQ10" s="26"/>
      <c r="AR10" s="26"/>
      <c r="AS10" s="26"/>
      <c r="AT10" s="26"/>
      <c r="AU10" s="26"/>
      <c r="AV10" s="26"/>
      <c r="AW10" s="26"/>
      <c r="AX10" s="26"/>
      <c r="AY10" s="26"/>
      <c r="AZ10" s="26"/>
      <c r="BA10" s="26"/>
      <c r="BB10" s="26"/>
      <c r="BC10" s="26"/>
      <c r="BD10" s="26"/>
      <c r="BE10" s="26"/>
      <c r="BF10" s="26"/>
      <c r="BG10" s="26"/>
      <c r="BH10" s="26"/>
      <c r="BI10" s="26"/>
      <c r="BJ10" s="26">
        <v>1</v>
      </c>
      <c r="BK10" s="26">
        <v>1</v>
      </c>
      <c r="BL10" s="26"/>
      <c r="BM10" s="26"/>
      <c r="BN10" s="26"/>
      <c r="BO10" s="26"/>
      <c r="BP10" s="26"/>
      <c r="BQ10" s="26"/>
      <c r="BR10" s="26"/>
      <c r="BS10" s="26"/>
      <c r="BT10" s="26">
        <f>3185.052+8843.912</f>
        <v>12028.964</v>
      </c>
      <c r="BU10" s="26">
        <f>3151.753+8838.815</f>
        <v>11990.568000000001</v>
      </c>
      <c r="BV10" s="26"/>
      <c r="BW10" s="26"/>
      <c r="BX10" s="26"/>
      <c r="BY10" s="26"/>
      <c r="BZ10" s="26">
        <f>50.464+27.763</f>
        <v>78.227000000000004</v>
      </c>
      <c r="CA10" s="26">
        <f>50.464+27.763</f>
        <v>78.227000000000004</v>
      </c>
      <c r="CB10" s="26"/>
      <c r="CC10" s="26"/>
      <c r="CD10" s="26"/>
      <c r="CE10" s="26"/>
      <c r="CF10" s="26">
        <f>103.446+15</f>
        <v>118.446</v>
      </c>
      <c r="CG10" s="26">
        <f>103.446+3</f>
        <v>106.446</v>
      </c>
      <c r="CH10" s="26"/>
      <c r="CI10" s="26"/>
      <c r="CJ10" s="26"/>
      <c r="CK10" s="26"/>
      <c r="CL10" s="26"/>
      <c r="CM10" s="26"/>
      <c r="CN10" s="26"/>
      <c r="CO10" s="26"/>
      <c r="CP10" s="26">
        <v>189.38399999999999</v>
      </c>
      <c r="CQ10" s="26">
        <v>189.38399999999999</v>
      </c>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157">
        <f t="shared" si="0"/>
        <v>26547.146999999997</v>
      </c>
      <c r="FK10" s="157">
        <f t="shared" si="1"/>
        <v>26302.071</v>
      </c>
    </row>
    <row r="11" spans="1:167">
      <c r="A11" s="102" t="s">
        <v>375</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157">
        <f t="shared" si="0"/>
        <v>0</v>
      </c>
      <c r="FK11" s="157">
        <f t="shared" si="1"/>
        <v>0</v>
      </c>
    </row>
    <row r="12" spans="1:167">
      <c r="A12" s="102" t="s">
        <v>355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157">
        <f t="shared" si="0"/>
        <v>0</v>
      </c>
      <c r="FK12" s="157">
        <f t="shared" si="1"/>
        <v>0</v>
      </c>
    </row>
    <row r="13" spans="1:167">
      <c r="A13" s="102" t="s">
        <v>376</v>
      </c>
      <c r="B13" s="26"/>
      <c r="C13" s="26"/>
      <c r="D13" s="26"/>
      <c r="E13" s="26"/>
      <c r="F13" s="26"/>
      <c r="G13" s="26"/>
      <c r="H13" s="26"/>
      <c r="I13" s="26"/>
      <c r="J13" s="26"/>
      <c r="K13" s="26"/>
      <c r="L13" s="26">
        <v>44.427999999999997</v>
      </c>
      <c r="M13" s="26">
        <v>32.228000000000002</v>
      </c>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157">
        <f t="shared" si="0"/>
        <v>44.427999999999997</v>
      </c>
      <c r="FK13" s="157">
        <f t="shared" si="1"/>
        <v>32.228000000000002</v>
      </c>
    </row>
    <row r="14" spans="1:167">
      <c r="A14" s="102" t="s">
        <v>378</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157">
        <f t="shared" si="0"/>
        <v>0</v>
      </c>
      <c r="FK14" s="157">
        <f t="shared" si="1"/>
        <v>0</v>
      </c>
    </row>
    <row r="15" spans="1:167">
      <c r="A15" s="102" t="s">
        <v>357</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v>178.255</v>
      </c>
      <c r="AK15" s="26">
        <v>175.589</v>
      </c>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157">
        <f t="shared" si="0"/>
        <v>178.255</v>
      </c>
      <c r="FK15" s="157">
        <f t="shared" si="1"/>
        <v>175.589</v>
      </c>
    </row>
    <row r="16" spans="1:167">
      <c r="A16" s="102" t="s">
        <v>358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v>78.283000000000001</v>
      </c>
      <c r="AI16" s="26">
        <v>78.283000000000001</v>
      </c>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157">
        <f t="shared" si="0"/>
        <v>78.283000000000001</v>
      </c>
      <c r="FK16" s="157">
        <f t="shared" si="1"/>
        <v>78.283000000000001</v>
      </c>
    </row>
    <row r="17" spans="1:167">
      <c r="A17" s="102" t="s">
        <v>359</v>
      </c>
      <c r="B17" s="26"/>
      <c r="C17" s="26"/>
      <c r="D17" s="26"/>
      <c r="E17" s="26"/>
      <c r="F17" s="26"/>
      <c r="G17" s="26"/>
      <c r="H17" s="26">
        <v>5173.2820000000002</v>
      </c>
      <c r="I17" s="26">
        <v>5173.2820000000002</v>
      </c>
      <c r="J17" s="26">
        <v>4586.2</v>
      </c>
      <c r="K17" s="26">
        <v>4553.0410000000002</v>
      </c>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157">
        <f t="shared" si="0"/>
        <v>9759.482</v>
      </c>
      <c r="FK17" s="157">
        <f t="shared" si="1"/>
        <v>9726.3230000000003</v>
      </c>
    </row>
    <row r="18" spans="1:167">
      <c r="A18" s="102" t="s">
        <v>360</v>
      </c>
      <c r="B18" s="26"/>
      <c r="C18" s="26"/>
      <c r="D18" s="26"/>
      <c r="E18" s="26"/>
      <c r="F18" s="26">
        <v>3487.3090000000002</v>
      </c>
      <c r="G18" s="26">
        <v>3487.2930000000001</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157">
        <f t="shared" si="0"/>
        <v>3487.3090000000002</v>
      </c>
      <c r="FK18" s="157">
        <f t="shared" si="1"/>
        <v>3487.2930000000001</v>
      </c>
    </row>
    <row r="19" spans="1:167">
      <c r="A19" s="102" t="s">
        <v>635</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157">
        <f t="shared" si="0"/>
        <v>0</v>
      </c>
      <c r="FK19" s="157">
        <f t="shared" si="1"/>
        <v>0</v>
      </c>
    </row>
    <row r="20" spans="1:167">
      <c r="A20" s="102" t="s">
        <v>362</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v>1243</v>
      </c>
      <c r="AM20" s="26">
        <v>1243</v>
      </c>
      <c r="AN20" s="26"/>
      <c r="AO20" s="26"/>
      <c r="AP20" s="26"/>
      <c r="AQ20" s="26"/>
      <c r="AR20" s="26"/>
      <c r="AS20" s="26"/>
      <c r="AT20" s="26"/>
      <c r="AU20" s="26"/>
      <c r="AV20" s="26">
        <v>5651.7759999999998</v>
      </c>
      <c r="AW20" s="26">
        <v>0</v>
      </c>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157">
        <f t="shared" si="0"/>
        <v>6894.7759999999998</v>
      </c>
      <c r="FK20" s="157">
        <f t="shared" si="1"/>
        <v>1243</v>
      </c>
    </row>
    <row r="21" spans="1:167">
      <c r="A21" s="102" t="s">
        <v>377</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157">
        <f t="shared" si="0"/>
        <v>0</v>
      </c>
      <c r="FK21" s="157">
        <f t="shared" si="1"/>
        <v>0</v>
      </c>
    </row>
    <row r="22" spans="1:167">
      <c r="A22" s="102" t="s">
        <v>363</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157">
        <f t="shared" si="0"/>
        <v>0</v>
      </c>
      <c r="FK22" s="157">
        <f t="shared" si="1"/>
        <v>0</v>
      </c>
    </row>
    <row r="23" spans="1:167">
      <c r="A23" s="102" t="s">
        <v>364</v>
      </c>
      <c r="B23" s="26"/>
      <c r="C23" s="26"/>
      <c r="D23" s="26"/>
      <c r="E23" s="26"/>
      <c r="F23" s="26"/>
      <c r="G23" s="26"/>
      <c r="H23" s="26"/>
      <c r="I23" s="26"/>
      <c r="J23" s="26"/>
      <c r="K23" s="26"/>
      <c r="L23" s="26"/>
      <c r="M23" s="26"/>
      <c r="N23" s="26"/>
      <c r="O23" s="26"/>
      <c r="P23" s="26"/>
      <c r="Q23" s="26"/>
      <c r="R23" s="26"/>
      <c r="S23" s="26"/>
      <c r="T23" s="26"/>
      <c r="U23" s="26"/>
      <c r="V23" s="26"/>
      <c r="W23" s="26"/>
      <c r="X23" s="26"/>
      <c r="Y23" s="26"/>
      <c r="Z23" s="26">
        <v>1262.0719999999999</v>
      </c>
      <c r="AA23" s="26">
        <v>1262.0719999999999</v>
      </c>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v>23.04</v>
      </c>
      <c r="BA23" s="26">
        <v>23.04</v>
      </c>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157">
        <f t="shared" si="0"/>
        <v>1285.1119999999999</v>
      </c>
      <c r="FK23" s="157">
        <f t="shared" si="1"/>
        <v>1285.1119999999999</v>
      </c>
    </row>
    <row r="24" spans="1:167" hidden="1">
      <c r="A24" s="102" t="s">
        <v>449</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157">
        <f t="shared" si="0"/>
        <v>0</v>
      </c>
      <c r="FK24" s="157">
        <f t="shared" si="1"/>
        <v>0</v>
      </c>
    </row>
    <row r="25" spans="1:167">
      <c r="A25" s="102" t="s">
        <v>365</v>
      </c>
      <c r="B25" s="26"/>
      <c r="C25" s="26"/>
      <c r="D25" s="26"/>
      <c r="E25" s="26"/>
      <c r="F25" s="26"/>
      <c r="G25" s="26"/>
      <c r="H25" s="26"/>
      <c r="I25" s="26"/>
      <c r="J25" s="26"/>
      <c r="K25" s="26"/>
      <c r="L25" s="26"/>
      <c r="M25" s="26"/>
      <c r="N25" s="26">
        <f>123576.121-1358.244</f>
        <v>122217.87699999999</v>
      </c>
      <c r="O25" s="26">
        <f>123576.12-1358.244</f>
        <v>122217.87599999999</v>
      </c>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v>1358.2439999999999</v>
      </c>
      <c r="CA25" s="26">
        <v>1358.2439999999999</v>
      </c>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157">
        <f t="shared" si="0"/>
        <v>123576.121</v>
      </c>
      <c r="FK25" s="157">
        <f t="shared" si="1"/>
        <v>123576.12</v>
      </c>
    </row>
    <row r="26" spans="1:167">
      <c r="A26" s="102" t="s">
        <v>366</v>
      </c>
      <c r="B26" s="26"/>
      <c r="C26" s="26"/>
      <c r="D26" s="26"/>
      <c r="E26" s="26"/>
      <c r="F26" s="26"/>
      <c r="G26" s="26"/>
      <c r="H26" s="26"/>
      <c r="I26" s="26"/>
      <c r="J26" s="26"/>
      <c r="K26" s="26"/>
      <c r="L26" s="26"/>
      <c r="M26" s="26"/>
      <c r="N26" s="26">
        <v>32861.434000000001</v>
      </c>
      <c r="O26" s="26">
        <v>32758.858</v>
      </c>
      <c r="P26" s="26">
        <v>74046.737999999998</v>
      </c>
      <c r="Q26" s="26">
        <v>72579.058000000005</v>
      </c>
      <c r="R26" s="26">
        <v>87856.046000000002</v>
      </c>
      <c r="S26" s="26">
        <v>86440.175000000003</v>
      </c>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v>3161.1379999999999</v>
      </c>
      <c r="CA26" s="26">
        <v>3161.04</v>
      </c>
      <c r="CB26" s="26">
        <v>20218.525000000001</v>
      </c>
      <c r="CC26" s="26">
        <v>17675.272000000001</v>
      </c>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157">
        <f t="shared" si="0"/>
        <v>218143.88099999999</v>
      </c>
      <c r="FK26" s="157">
        <f t="shared" si="1"/>
        <v>212614.40300000002</v>
      </c>
    </row>
    <row r="27" spans="1:167">
      <c r="A27" s="102" t="s">
        <v>409</v>
      </c>
      <c r="B27" s="26"/>
      <c r="C27" s="26"/>
      <c r="D27" s="26"/>
      <c r="E27" s="26"/>
      <c r="F27" s="26"/>
      <c r="G27" s="26"/>
      <c r="H27" s="26"/>
      <c r="I27" s="26"/>
      <c r="J27" s="26"/>
      <c r="K27" s="26"/>
      <c r="L27" s="26"/>
      <c r="M27" s="26"/>
      <c r="N27" s="26"/>
      <c r="O27" s="26"/>
      <c r="P27" s="26"/>
      <c r="Q27" s="26"/>
      <c r="R27" s="26"/>
      <c r="S27" s="26"/>
      <c r="T27" s="26">
        <f>90644.695-866.925-526.2</f>
        <v>89251.57</v>
      </c>
      <c r="U27" s="26">
        <f>90147.528-866.925-526.2</f>
        <v>88754.403000000006</v>
      </c>
      <c r="V27" s="26"/>
      <c r="W27" s="26"/>
      <c r="X27" s="26">
        <v>526.20000000000005</v>
      </c>
      <c r="Y27" s="26">
        <v>526.20000000000005</v>
      </c>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v>866.92499999999995</v>
      </c>
      <c r="CA27" s="26">
        <v>866.92499999999995</v>
      </c>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157">
        <f t="shared" si="0"/>
        <v>90644.695000000007</v>
      </c>
      <c r="FK27" s="157">
        <f t="shared" si="1"/>
        <v>90147.528000000006</v>
      </c>
    </row>
    <row r="28" spans="1:167">
      <c r="A28" s="102" t="s">
        <v>751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v>253.6</v>
      </c>
      <c r="BY28" s="26">
        <v>251.53</v>
      </c>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157">
        <f t="shared" si="0"/>
        <v>253.6</v>
      </c>
      <c r="FK28" s="157">
        <f t="shared" si="1"/>
        <v>251.53</v>
      </c>
    </row>
    <row r="29" spans="1:167">
      <c r="A29" s="102" t="s">
        <v>367</v>
      </c>
      <c r="B29" s="26"/>
      <c r="C29" s="26"/>
      <c r="D29" s="26"/>
      <c r="E29" s="26"/>
      <c r="F29" s="26"/>
      <c r="G29" s="26"/>
      <c r="H29" s="26"/>
      <c r="I29" s="26"/>
      <c r="J29" s="26"/>
      <c r="K29" s="26"/>
      <c r="L29" s="26"/>
      <c r="M29" s="26"/>
      <c r="N29" s="26"/>
      <c r="O29" s="26"/>
      <c r="P29" s="26"/>
      <c r="Q29" s="26"/>
      <c r="R29" s="26"/>
      <c r="S29" s="26"/>
      <c r="T29" s="26"/>
      <c r="U29" s="26"/>
      <c r="V29" s="26">
        <v>7307.8630000000003</v>
      </c>
      <c r="W29" s="26">
        <v>6992.6180000000004</v>
      </c>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157">
        <f t="shared" si="0"/>
        <v>7307.8630000000003</v>
      </c>
      <c r="FK29" s="157">
        <f t="shared" si="1"/>
        <v>6992.6180000000004</v>
      </c>
    </row>
    <row r="30" spans="1:167">
      <c r="A30" s="102" t="s">
        <v>368</v>
      </c>
      <c r="B30" s="26"/>
      <c r="C30" s="26"/>
      <c r="D30" s="26"/>
      <c r="E30" s="26"/>
      <c r="F30" s="26"/>
      <c r="G30" s="26"/>
      <c r="H30" s="26"/>
      <c r="I30" s="26"/>
      <c r="J30" s="26"/>
      <c r="K30" s="26"/>
      <c r="L30" s="26"/>
      <c r="M30" s="26"/>
      <c r="N30" s="26"/>
      <c r="O30" s="26"/>
      <c r="P30" s="26"/>
      <c r="Q30" s="26"/>
      <c r="R30" s="26"/>
      <c r="S30" s="26"/>
      <c r="T30" s="26"/>
      <c r="U30" s="26"/>
      <c r="V30" s="26"/>
      <c r="W30" s="26"/>
      <c r="X30" s="26">
        <f>254.4+2.52</f>
        <v>256.92</v>
      </c>
      <c r="Y30" s="26">
        <f>254.4+2.52</f>
        <v>256.92</v>
      </c>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f>6398.265+8.592</f>
        <v>6406.857</v>
      </c>
      <c r="BM30" s="26">
        <f>6326.566+8.592</f>
        <v>6335.1579999999994</v>
      </c>
      <c r="BN30" s="26">
        <v>13634.7</v>
      </c>
      <c r="BO30" s="26">
        <v>13566.37</v>
      </c>
      <c r="BP30" s="26"/>
      <c r="BQ30" s="26"/>
      <c r="BR30" s="26"/>
      <c r="BS30" s="26"/>
      <c r="BT30" s="26"/>
      <c r="BU30" s="26"/>
      <c r="BV30" s="26"/>
      <c r="BW30" s="26"/>
      <c r="BX30" s="26"/>
      <c r="BY30" s="26"/>
      <c r="BZ30" s="26">
        <v>204.196</v>
      </c>
      <c r="CA30" s="26">
        <v>204.196</v>
      </c>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157">
        <f t="shared" si="0"/>
        <v>20502.672999999999</v>
      </c>
      <c r="FK30" s="157">
        <f t="shared" si="1"/>
        <v>20362.644</v>
      </c>
    </row>
    <row r="31" spans="1:167" s="103" customFormat="1">
      <c r="A31" s="102" t="s">
        <v>369</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v>1537.2</v>
      </c>
      <c r="AC31" s="26">
        <v>1537.2</v>
      </c>
      <c r="AD31" s="26">
        <v>51047.612000000001</v>
      </c>
      <c r="AE31" s="26">
        <v>50886.991999999998</v>
      </c>
      <c r="AF31" s="26"/>
      <c r="AG31" s="26"/>
      <c r="AH31" s="26"/>
      <c r="AI31" s="26"/>
      <c r="AJ31" s="26"/>
      <c r="AK31" s="26"/>
      <c r="AL31" s="26"/>
      <c r="AM31" s="26"/>
      <c r="AN31" s="26"/>
      <c r="AO31" s="26"/>
      <c r="AP31" s="26"/>
      <c r="AQ31" s="26"/>
      <c r="AR31" s="26"/>
      <c r="AS31" s="26"/>
      <c r="AT31" s="26"/>
      <c r="AU31" s="26"/>
      <c r="AV31" s="26"/>
      <c r="AW31" s="26"/>
      <c r="AX31" s="26"/>
      <c r="AY31" s="26"/>
      <c r="AZ31" s="26"/>
      <c r="BA31" s="26"/>
      <c r="BB31" s="26">
        <v>57197.125999999997</v>
      </c>
      <c r="BC31" s="26">
        <v>57197.125999999997</v>
      </c>
      <c r="BD31" s="26"/>
      <c r="BE31" s="26"/>
      <c r="BF31" s="26">
        <v>15605.3</v>
      </c>
      <c r="BG31" s="26">
        <v>15605.3</v>
      </c>
      <c r="BH31" s="26">
        <v>50484.4</v>
      </c>
      <c r="BI31" s="26">
        <v>50484.4</v>
      </c>
      <c r="BJ31" s="26"/>
      <c r="BK31" s="26"/>
      <c r="BL31" s="26"/>
      <c r="BM31" s="26"/>
      <c r="BN31" s="26"/>
      <c r="BO31" s="26"/>
      <c r="BP31" s="26"/>
      <c r="BQ31" s="26"/>
      <c r="BR31" s="26"/>
      <c r="BS31" s="26"/>
      <c r="BT31" s="26"/>
      <c r="BU31" s="26"/>
      <c r="BV31" s="26"/>
      <c r="BW31" s="26"/>
      <c r="BX31" s="26"/>
      <c r="BY31" s="26"/>
      <c r="BZ31" s="26">
        <v>915.99599999999998</v>
      </c>
      <c r="CA31" s="26">
        <v>901.75699999999995</v>
      </c>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157">
        <f t="shared" si="0"/>
        <v>176787.63400000002</v>
      </c>
      <c r="FK31" s="157">
        <f t="shared" si="1"/>
        <v>176612.77500000002</v>
      </c>
    </row>
    <row r="32" spans="1:167">
      <c r="A32" s="102" t="s">
        <v>370</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v>3313.9270000000001</v>
      </c>
      <c r="BM32" s="26">
        <v>3239.2649999999999</v>
      </c>
      <c r="BN32" s="26">
        <v>7949.5249999999996</v>
      </c>
      <c r="BO32" s="26">
        <v>7882.3249999999998</v>
      </c>
      <c r="BP32" s="26"/>
      <c r="BQ32" s="26"/>
      <c r="BR32" s="26"/>
      <c r="BS32" s="26"/>
      <c r="BT32" s="26"/>
      <c r="BU32" s="26"/>
      <c r="BV32" s="26"/>
      <c r="BW32" s="26"/>
      <c r="BX32" s="26"/>
      <c r="BY32" s="26"/>
      <c r="BZ32" s="26">
        <v>213.904</v>
      </c>
      <c r="CA32" s="26">
        <v>213.904</v>
      </c>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157">
        <f t="shared" si="0"/>
        <v>11477.356</v>
      </c>
      <c r="FK32" s="157">
        <f t="shared" si="1"/>
        <v>11335.494000000001</v>
      </c>
    </row>
    <row r="33" spans="1:167">
      <c r="A33" s="102" t="s">
        <v>371</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f>117.802+56.604+97.17</f>
        <v>271.57600000000002</v>
      </c>
      <c r="AY33" s="26">
        <f>117.802+56.604+97.17</f>
        <v>271.57600000000002</v>
      </c>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f>4509.588-97.17-56.604-117.802</f>
        <v>4238.0119999999997</v>
      </c>
      <c r="CK33" s="26">
        <f>4508.921-97.17-56.604-117.802</f>
        <v>4237.3450000000003</v>
      </c>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157">
        <f t="shared" si="0"/>
        <v>4509.5879999999997</v>
      </c>
      <c r="FK33" s="157">
        <f t="shared" si="1"/>
        <v>4508.9210000000003</v>
      </c>
    </row>
    <row r="34" spans="1:167">
      <c r="A34" s="102" t="s">
        <v>353</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f>713.261-1.33</f>
        <v>711.93099999999993</v>
      </c>
      <c r="AY34" s="26">
        <f>672.776-1.328</f>
        <v>671.44799999999998</v>
      </c>
      <c r="AZ34" s="26"/>
      <c r="BA34" s="26"/>
      <c r="BB34" s="26"/>
      <c r="BC34" s="26"/>
      <c r="BD34" s="26"/>
      <c r="BE34" s="26"/>
      <c r="BF34" s="26"/>
      <c r="BG34" s="26"/>
      <c r="BH34" s="26"/>
      <c r="BI34" s="26"/>
      <c r="BJ34" s="26"/>
      <c r="BK34" s="26"/>
      <c r="BL34" s="26">
        <v>1.33</v>
      </c>
      <c r="BM34" s="26">
        <v>1.3280000000000001</v>
      </c>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157">
        <f t="shared" si="0"/>
        <v>713.26099999999997</v>
      </c>
      <c r="FK34" s="157">
        <f t="shared" si="1"/>
        <v>672.77599999999995</v>
      </c>
    </row>
    <row r="35" spans="1:167">
      <c r="A35" s="102" t="s">
        <v>361</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v>5.7</v>
      </c>
      <c r="CK35" s="26">
        <v>5.7</v>
      </c>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157">
        <f t="shared" si="0"/>
        <v>5.7</v>
      </c>
      <c r="FK35" s="157">
        <f t="shared" si="1"/>
        <v>5.7</v>
      </c>
    </row>
    <row r="36" spans="1:167">
      <c r="A36" s="102" t="s">
        <v>346</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v>5600.2</v>
      </c>
      <c r="AQ36" s="26">
        <v>5600.2</v>
      </c>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157">
        <f t="shared" si="0"/>
        <v>5600.2</v>
      </c>
      <c r="FK36" s="157">
        <f t="shared" si="1"/>
        <v>5600.2</v>
      </c>
    </row>
    <row r="37" spans="1:167">
      <c r="A37" s="102" t="s">
        <v>372</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v>4992.973</v>
      </c>
      <c r="AS37" s="26">
        <v>3845.9029999999998</v>
      </c>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157">
        <f t="shared" si="0"/>
        <v>4992.973</v>
      </c>
      <c r="FK37" s="157">
        <f t="shared" si="1"/>
        <v>3845.9029999999998</v>
      </c>
    </row>
    <row r="38" spans="1:167" ht="12.75" customHeight="1">
      <c r="A38" s="102" t="s">
        <v>44</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v>117</v>
      </c>
      <c r="AS38" s="26">
        <v>117</v>
      </c>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157">
        <f t="shared" si="0"/>
        <v>117</v>
      </c>
      <c r="FK38" s="157">
        <f t="shared" si="1"/>
        <v>117</v>
      </c>
    </row>
    <row r="39" spans="1:167">
      <c r="A39" s="102" t="s">
        <v>373</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v>64.408000000000001</v>
      </c>
      <c r="BQ39" s="26">
        <v>64.408000000000001</v>
      </c>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157">
        <f t="shared" si="0"/>
        <v>64.408000000000001</v>
      </c>
      <c r="FK39" s="157">
        <f t="shared" si="1"/>
        <v>64.408000000000001</v>
      </c>
    </row>
    <row r="40" spans="1:167">
      <c r="A40" s="102" t="s">
        <v>47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157">
        <f t="shared" si="0"/>
        <v>0</v>
      </c>
      <c r="FK40" s="157">
        <f t="shared" si="1"/>
        <v>0</v>
      </c>
    </row>
    <row r="41" spans="1:167">
      <c r="A41" s="102" t="s">
        <v>48</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157">
        <f t="shared" si="0"/>
        <v>0</v>
      </c>
      <c r="FK41" s="157">
        <f t="shared" si="1"/>
        <v>0</v>
      </c>
    </row>
    <row r="42" spans="1:167" s="103" customFormat="1">
      <c r="A42" s="102" t="s">
        <v>374</v>
      </c>
      <c r="B42" s="26">
        <f>SUM(B3:B41)</f>
        <v>6156.4229999999998</v>
      </c>
      <c r="C42" s="26">
        <f t="shared" ref="C42:BV42" si="2">SUM(C3:C41)</f>
        <v>5991.6170000000002</v>
      </c>
      <c r="D42" s="26">
        <f t="shared" si="2"/>
        <v>0</v>
      </c>
      <c r="E42" s="26">
        <f t="shared" si="2"/>
        <v>0</v>
      </c>
      <c r="F42" s="26">
        <f t="shared" si="2"/>
        <v>3487.3090000000002</v>
      </c>
      <c r="G42" s="26">
        <f t="shared" si="2"/>
        <v>3487.2930000000001</v>
      </c>
      <c r="H42" s="26">
        <f t="shared" si="2"/>
        <v>5173.2820000000002</v>
      </c>
      <c r="I42" s="26">
        <f t="shared" si="2"/>
        <v>5173.2820000000002</v>
      </c>
      <c r="J42" s="26">
        <f t="shared" si="2"/>
        <v>4586.2</v>
      </c>
      <c r="K42" s="26">
        <f t="shared" si="2"/>
        <v>4553.0410000000002</v>
      </c>
      <c r="L42" s="26">
        <f t="shared" si="2"/>
        <v>44.427999999999997</v>
      </c>
      <c r="M42" s="26">
        <f t="shared" si="2"/>
        <v>32.228000000000002</v>
      </c>
      <c r="N42" s="26">
        <f t="shared" si="2"/>
        <v>155079.31099999999</v>
      </c>
      <c r="O42" s="26">
        <f t="shared" si="2"/>
        <v>154976.734</v>
      </c>
      <c r="P42" s="26">
        <f t="shared" si="2"/>
        <v>74046.737999999998</v>
      </c>
      <c r="Q42" s="26">
        <f t="shared" si="2"/>
        <v>72579.058000000005</v>
      </c>
      <c r="R42" s="26">
        <f t="shared" si="2"/>
        <v>87856.046000000002</v>
      </c>
      <c r="S42" s="26">
        <f t="shared" si="2"/>
        <v>86440.175000000003</v>
      </c>
      <c r="T42" s="26">
        <f t="shared" si="2"/>
        <v>89251.57</v>
      </c>
      <c r="U42" s="26">
        <f t="shared" si="2"/>
        <v>88754.403000000006</v>
      </c>
      <c r="V42" s="26">
        <f t="shared" si="2"/>
        <v>7307.8630000000003</v>
      </c>
      <c r="W42" s="26">
        <f t="shared" si="2"/>
        <v>6992.6180000000004</v>
      </c>
      <c r="X42" s="26">
        <f t="shared" si="2"/>
        <v>783.12000000000012</v>
      </c>
      <c r="Y42" s="26">
        <f t="shared" si="2"/>
        <v>783.12000000000012</v>
      </c>
      <c r="Z42" s="26">
        <f t="shared" si="2"/>
        <v>1262.0719999999999</v>
      </c>
      <c r="AA42" s="26">
        <f t="shared" si="2"/>
        <v>1262.0719999999999</v>
      </c>
      <c r="AB42" s="26">
        <f t="shared" si="2"/>
        <v>4349.6210000000001</v>
      </c>
      <c r="AC42" s="26">
        <f t="shared" si="2"/>
        <v>4345.6499999999996</v>
      </c>
      <c r="AD42" s="26">
        <f t="shared" si="2"/>
        <v>51047.612000000001</v>
      </c>
      <c r="AE42" s="26">
        <f t="shared" si="2"/>
        <v>50886.991999999998</v>
      </c>
      <c r="AF42" s="26">
        <f t="shared" si="2"/>
        <v>0</v>
      </c>
      <c r="AG42" s="26">
        <f t="shared" si="2"/>
        <v>0</v>
      </c>
      <c r="AH42" s="26">
        <f t="shared" si="2"/>
        <v>78.283000000000001</v>
      </c>
      <c r="AI42" s="26">
        <f t="shared" si="2"/>
        <v>78.283000000000001</v>
      </c>
      <c r="AJ42" s="26">
        <f t="shared" si="2"/>
        <v>178.255</v>
      </c>
      <c r="AK42" s="26">
        <f t="shared" si="2"/>
        <v>175.589</v>
      </c>
      <c r="AL42" s="26">
        <f t="shared" si="2"/>
        <v>1243</v>
      </c>
      <c r="AM42" s="26">
        <f t="shared" si="2"/>
        <v>1243</v>
      </c>
      <c r="AN42" s="26">
        <f t="shared" ref="AN42:AO42" si="3">SUM(AN3:AN41)</f>
        <v>5162.2820000000002</v>
      </c>
      <c r="AO42" s="26">
        <f t="shared" si="3"/>
        <v>5136.3789999999999</v>
      </c>
      <c r="AP42" s="26">
        <f t="shared" si="2"/>
        <v>5600.2</v>
      </c>
      <c r="AQ42" s="26">
        <f t="shared" si="2"/>
        <v>5600.2</v>
      </c>
      <c r="AR42" s="26">
        <f t="shared" si="2"/>
        <v>5109.973</v>
      </c>
      <c r="AS42" s="26">
        <f t="shared" si="2"/>
        <v>3962.9029999999998</v>
      </c>
      <c r="AT42" s="26">
        <f t="shared" si="2"/>
        <v>0</v>
      </c>
      <c r="AU42" s="26">
        <f t="shared" si="2"/>
        <v>0</v>
      </c>
      <c r="AV42" s="26">
        <f t="shared" ref="AV42:AW42" si="4">SUM(AV3:AV41)</f>
        <v>5651.7759999999998</v>
      </c>
      <c r="AW42" s="26">
        <f t="shared" si="4"/>
        <v>0</v>
      </c>
      <c r="AX42" s="26">
        <f t="shared" si="2"/>
        <v>983.50699999999995</v>
      </c>
      <c r="AY42" s="26">
        <f t="shared" si="2"/>
        <v>943.024</v>
      </c>
      <c r="AZ42" s="26">
        <f t="shared" ref="AZ42:BA42" si="5">SUM(AZ3:AZ41)</f>
        <v>23.04</v>
      </c>
      <c r="BA42" s="26">
        <f t="shared" si="5"/>
        <v>23.04</v>
      </c>
      <c r="BB42" s="26">
        <f t="shared" si="2"/>
        <v>57197.125999999997</v>
      </c>
      <c r="BC42" s="26">
        <f t="shared" si="2"/>
        <v>57197.125999999997</v>
      </c>
      <c r="BD42" s="26">
        <f t="shared" ref="BD42:BE42" si="6">SUM(BD3:BD41)</f>
        <v>0</v>
      </c>
      <c r="BE42" s="26">
        <f t="shared" si="6"/>
        <v>0</v>
      </c>
      <c r="BF42" s="26">
        <f t="shared" si="2"/>
        <v>15605.3</v>
      </c>
      <c r="BG42" s="26">
        <f t="shared" si="2"/>
        <v>15605.3</v>
      </c>
      <c r="BH42" s="26">
        <f t="shared" si="2"/>
        <v>50484.4</v>
      </c>
      <c r="BI42" s="26">
        <f t="shared" si="2"/>
        <v>50484.4</v>
      </c>
      <c r="BJ42" s="26">
        <f t="shared" si="2"/>
        <v>1</v>
      </c>
      <c r="BK42" s="26">
        <f t="shared" si="2"/>
        <v>1</v>
      </c>
      <c r="BL42" s="26">
        <f t="shared" si="2"/>
        <v>42486.624000000003</v>
      </c>
      <c r="BM42" s="26">
        <f t="shared" si="2"/>
        <v>41349.465000000004</v>
      </c>
      <c r="BN42" s="26">
        <f t="shared" si="2"/>
        <v>73258.439999999988</v>
      </c>
      <c r="BO42" s="26">
        <f t="shared" si="2"/>
        <v>72918.554000000004</v>
      </c>
      <c r="BP42" s="26">
        <f t="shared" si="2"/>
        <v>64.408000000000001</v>
      </c>
      <c r="BQ42" s="26">
        <f t="shared" si="2"/>
        <v>64.408000000000001</v>
      </c>
      <c r="BR42" s="26">
        <f t="shared" si="2"/>
        <v>910</v>
      </c>
      <c r="BS42" s="26">
        <f t="shared" si="2"/>
        <v>910</v>
      </c>
      <c r="BT42" s="26">
        <f t="shared" si="2"/>
        <v>12028.964</v>
      </c>
      <c r="BU42" s="26">
        <f t="shared" si="2"/>
        <v>11990.568000000001</v>
      </c>
      <c r="BV42" s="26">
        <f t="shared" si="2"/>
        <v>563.16100000000006</v>
      </c>
      <c r="BW42" s="26">
        <f t="shared" ref="BW42:ET42" si="7">SUM(BW3:BW41)</f>
        <v>563.16100000000006</v>
      </c>
      <c r="BX42" s="26">
        <f>SUM(BX3:BX41)</f>
        <v>253.6</v>
      </c>
      <c r="BY42" s="26">
        <f>SUM(BY3:BY41)</f>
        <v>251.53</v>
      </c>
      <c r="BZ42" s="26">
        <f t="shared" si="7"/>
        <v>7948.5290000000005</v>
      </c>
      <c r="CA42" s="26">
        <f t="shared" si="7"/>
        <v>7934.1919999999991</v>
      </c>
      <c r="CB42" s="26">
        <f>SUM(CB3:CB41)</f>
        <v>20218.525000000001</v>
      </c>
      <c r="CC42" s="26">
        <f>SUM(CC3:CC41)</f>
        <v>17675.272000000001</v>
      </c>
      <c r="CD42" s="26">
        <f t="shared" si="7"/>
        <v>0</v>
      </c>
      <c r="CE42" s="26">
        <f t="shared" si="7"/>
        <v>0</v>
      </c>
      <c r="CF42" s="26">
        <f t="shared" ref="CF42:CG42" si="8">SUM(CF3:CF41)</f>
        <v>118.446</v>
      </c>
      <c r="CG42" s="26">
        <f t="shared" si="8"/>
        <v>106.446</v>
      </c>
      <c r="CH42" s="26">
        <f t="shared" si="7"/>
        <v>0</v>
      </c>
      <c r="CI42" s="26">
        <f t="shared" si="7"/>
        <v>0</v>
      </c>
      <c r="CJ42" s="26">
        <f t="shared" si="7"/>
        <v>4243.7119999999995</v>
      </c>
      <c r="CK42" s="26">
        <f t="shared" si="7"/>
        <v>4243.0450000000001</v>
      </c>
      <c r="CL42" s="26">
        <f t="shared" si="7"/>
        <v>0</v>
      </c>
      <c r="CM42" s="26">
        <f t="shared" si="7"/>
        <v>0</v>
      </c>
      <c r="CN42" s="26">
        <f t="shared" si="7"/>
        <v>0</v>
      </c>
      <c r="CO42" s="26">
        <f t="shared" si="7"/>
        <v>0</v>
      </c>
      <c r="CP42" s="26">
        <f t="shared" si="7"/>
        <v>189.38399999999999</v>
      </c>
      <c r="CQ42" s="26">
        <f t="shared" si="7"/>
        <v>189.38399999999999</v>
      </c>
      <c r="CR42" s="26">
        <f t="shared" si="7"/>
        <v>0</v>
      </c>
      <c r="CS42" s="26">
        <f t="shared" si="7"/>
        <v>0</v>
      </c>
      <c r="CT42" s="26">
        <f t="shared" si="7"/>
        <v>0</v>
      </c>
      <c r="CU42" s="26">
        <f t="shared" si="7"/>
        <v>0</v>
      </c>
      <c r="CV42" s="26">
        <f t="shared" si="7"/>
        <v>0</v>
      </c>
      <c r="CW42" s="26">
        <f t="shared" si="7"/>
        <v>0</v>
      </c>
      <c r="CX42" s="26">
        <f t="shared" si="7"/>
        <v>0</v>
      </c>
      <c r="CY42" s="26">
        <f t="shared" si="7"/>
        <v>0</v>
      </c>
      <c r="CZ42" s="26">
        <f t="shared" si="7"/>
        <v>0</v>
      </c>
      <c r="DA42" s="26">
        <f t="shared" si="7"/>
        <v>0</v>
      </c>
      <c r="DB42" s="26">
        <f t="shared" si="7"/>
        <v>0</v>
      </c>
      <c r="DC42" s="26">
        <f t="shared" si="7"/>
        <v>0</v>
      </c>
      <c r="DD42" s="26">
        <f t="shared" si="7"/>
        <v>0</v>
      </c>
      <c r="DE42" s="26">
        <f t="shared" si="7"/>
        <v>0</v>
      </c>
      <c r="DF42" s="26">
        <f t="shared" si="7"/>
        <v>0</v>
      </c>
      <c r="DG42" s="26">
        <f t="shared" si="7"/>
        <v>0</v>
      </c>
      <c r="DH42" s="26">
        <f t="shared" si="7"/>
        <v>0</v>
      </c>
      <c r="DI42" s="26">
        <f t="shared" si="7"/>
        <v>0</v>
      </c>
      <c r="DJ42" s="26">
        <f t="shared" si="7"/>
        <v>0</v>
      </c>
      <c r="DK42" s="26">
        <f t="shared" si="7"/>
        <v>0</v>
      </c>
      <c r="DL42" s="26">
        <f t="shared" si="7"/>
        <v>0</v>
      </c>
      <c r="DM42" s="26">
        <f t="shared" si="7"/>
        <v>0</v>
      </c>
      <c r="DN42" s="26">
        <f t="shared" si="7"/>
        <v>0</v>
      </c>
      <c r="DO42" s="26">
        <f t="shared" si="7"/>
        <v>0</v>
      </c>
      <c r="DP42" s="26">
        <f t="shared" si="7"/>
        <v>0</v>
      </c>
      <c r="DQ42" s="26">
        <f t="shared" si="7"/>
        <v>0</v>
      </c>
      <c r="DR42" s="26">
        <f t="shared" si="7"/>
        <v>0</v>
      </c>
      <c r="DS42" s="26">
        <f t="shared" si="7"/>
        <v>0</v>
      </c>
      <c r="DT42" s="26">
        <f t="shared" si="7"/>
        <v>0</v>
      </c>
      <c r="DU42" s="26">
        <f t="shared" si="7"/>
        <v>0</v>
      </c>
      <c r="DV42" s="26">
        <f t="shared" si="7"/>
        <v>0</v>
      </c>
      <c r="DW42" s="26">
        <f t="shared" si="7"/>
        <v>0</v>
      </c>
      <c r="DX42" s="26">
        <f t="shared" si="7"/>
        <v>0</v>
      </c>
      <c r="DY42" s="26">
        <f t="shared" si="7"/>
        <v>0</v>
      </c>
      <c r="DZ42" s="26">
        <f t="shared" si="7"/>
        <v>0</v>
      </c>
      <c r="EA42" s="26">
        <f t="shared" si="7"/>
        <v>0</v>
      </c>
      <c r="EB42" s="26">
        <f t="shared" si="7"/>
        <v>0</v>
      </c>
      <c r="EC42" s="26">
        <f t="shared" si="7"/>
        <v>0</v>
      </c>
      <c r="ED42" s="26">
        <f t="shared" si="7"/>
        <v>0</v>
      </c>
      <c r="EE42" s="26">
        <f t="shared" si="7"/>
        <v>0</v>
      </c>
      <c r="EF42" s="26">
        <f t="shared" si="7"/>
        <v>0</v>
      </c>
      <c r="EG42" s="26">
        <f t="shared" si="7"/>
        <v>0</v>
      </c>
      <c r="EH42" s="26">
        <f t="shared" si="7"/>
        <v>0</v>
      </c>
      <c r="EI42" s="26">
        <f t="shared" si="7"/>
        <v>0</v>
      </c>
      <c r="EJ42" s="26">
        <f t="shared" si="7"/>
        <v>0</v>
      </c>
      <c r="EK42" s="26">
        <f t="shared" si="7"/>
        <v>0</v>
      </c>
      <c r="EL42" s="26">
        <f t="shared" si="7"/>
        <v>0</v>
      </c>
      <c r="EM42" s="26">
        <f t="shared" si="7"/>
        <v>0</v>
      </c>
      <c r="EN42" s="26">
        <f t="shared" si="7"/>
        <v>0</v>
      </c>
      <c r="EO42" s="26">
        <f t="shared" si="7"/>
        <v>0</v>
      </c>
      <c r="EP42" s="26">
        <f t="shared" si="7"/>
        <v>0</v>
      </c>
      <c r="EQ42" s="26">
        <f t="shared" si="7"/>
        <v>0</v>
      </c>
      <c r="ER42" s="26">
        <f t="shared" si="7"/>
        <v>0</v>
      </c>
      <c r="ES42" s="26">
        <f t="shared" si="7"/>
        <v>0</v>
      </c>
      <c r="ET42" s="26">
        <f t="shared" si="7"/>
        <v>0</v>
      </c>
      <c r="EU42" s="26">
        <f t="shared" ref="EU42:FI42" si="9">SUM(EU3:EU41)</f>
        <v>0</v>
      </c>
      <c r="EV42" s="26">
        <f t="shared" si="9"/>
        <v>0</v>
      </c>
      <c r="EW42" s="26">
        <f t="shared" si="9"/>
        <v>0</v>
      </c>
      <c r="EX42" s="26">
        <f t="shared" si="9"/>
        <v>0</v>
      </c>
      <c r="EY42" s="26">
        <f t="shared" si="9"/>
        <v>0</v>
      </c>
      <c r="EZ42" s="26">
        <f t="shared" si="9"/>
        <v>0</v>
      </c>
      <c r="FA42" s="26">
        <f t="shared" si="9"/>
        <v>0</v>
      </c>
      <c r="FB42" s="26">
        <f t="shared" si="9"/>
        <v>0</v>
      </c>
      <c r="FC42" s="26">
        <f t="shared" si="9"/>
        <v>0</v>
      </c>
      <c r="FD42" s="26">
        <f t="shared" si="9"/>
        <v>0</v>
      </c>
      <c r="FE42" s="26">
        <f t="shared" si="9"/>
        <v>0</v>
      </c>
      <c r="FF42" s="26">
        <f t="shared" si="9"/>
        <v>0</v>
      </c>
      <c r="FG42" s="26">
        <f t="shared" si="9"/>
        <v>0</v>
      </c>
      <c r="FH42" s="26">
        <f t="shared" si="9"/>
        <v>0</v>
      </c>
      <c r="FI42" s="26">
        <f t="shared" si="9"/>
        <v>0</v>
      </c>
      <c r="FJ42" s="157">
        <f>SUM(FJ3:FJ41)</f>
        <v>800033.53</v>
      </c>
      <c r="FK42" s="157">
        <f>SUM(FK3:FK41)</f>
        <v>784904.55200000003</v>
      </c>
    </row>
    <row r="43" spans="1:167">
      <c r="AT43" s="106"/>
      <c r="AU43" s="106"/>
      <c r="AV43" s="106"/>
      <c r="AW43" s="106"/>
      <c r="AX43" s="106"/>
      <c r="AY43" s="106"/>
      <c r="AZ43" s="106"/>
      <c r="BA43" s="106"/>
      <c r="BB43" s="106">
        <f>B42+D42+F42+H42+J42+L42+N42+P42+R42+T42+V42+X42+Z42+AB42+AD42+AF42+AH42+AJ42+AL42+AP42+AR42+AT42+BB42</f>
        <v>559838.43200000003</v>
      </c>
      <c r="BC43" s="106">
        <f>C42+E42+G42+I42+K42+M42+O42+Q42+S42+U42+W42+Y42+AA42+AC42+AE42+AG42+AI42+AK42+AM42+AQ42+AS42+AU42+BC42</f>
        <v>554515.38400000008</v>
      </c>
      <c r="BD43" s="106">
        <f>D42+F42+H42+J42+L42+N42+P42+R42+T42+V42+X42+Z42+AB42+AD42+AF42+AH42+AJ42+AL42+AP42+AR42+AT42+BB42+BD42</f>
        <v>553682.00900000008</v>
      </c>
      <c r="BE43" s="106">
        <f>E42+G42+I42+K42+M42+O42+Q42+S42+U42+W42+Y42+AA42+AC42+AE42+AG42+AI42+AK42+AM42+AQ42+AS42+AU42+BC42+BE42</f>
        <v>548523.76699999999</v>
      </c>
      <c r="BG43" s="107"/>
      <c r="BH43" s="107"/>
      <c r="BI43" s="107"/>
      <c r="BJ43" s="107">
        <f>BF42+BH42+BJ42</f>
        <v>66090.7</v>
      </c>
      <c r="BK43" s="107">
        <f>BG42+BI42+BK42</f>
        <v>66090.7</v>
      </c>
      <c r="BL43" s="107"/>
      <c r="BM43" s="107"/>
      <c r="BN43" s="107"/>
      <c r="BO43" s="107"/>
      <c r="BP43" s="107"/>
      <c r="BQ43" s="107"/>
      <c r="BR43" s="107"/>
      <c r="BS43" s="107"/>
      <c r="BT43" s="107"/>
      <c r="BU43" s="107"/>
      <c r="BV43" s="107"/>
      <c r="BW43" s="107"/>
      <c r="BX43" s="107"/>
      <c r="BY43" s="107"/>
      <c r="BZ43" s="107"/>
      <c r="CA43" s="107"/>
      <c r="CB43" s="107"/>
      <c r="CC43" s="107"/>
      <c r="CD43" s="107">
        <f>BL42+BN42+BP42+BR42+BT42+BX42+BV42+BZ42+CD42</f>
        <v>137513.726</v>
      </c>
      <c r="CE43" s="107">
        <f>BM42+BO42+BQ42+BS42+BU42+BW42+BY42+CA42+CE42</f>
        <v>135981.878</v>
      </c>
      <c r="CF43" s="107">
        <f>BN42+BP42+BR42+BT42+BV42+BZ42+BX42+CD42+CF42</f>
        <v>95145.547999999966</v>
      </c>
      <c r="CG43" s="107">
        <f>BO42+BQ42+BS42+BU42+BW42+BY42+CA42+CE42+CG42</f>
        <v>94738.858999999982</v>
      </c>
      <c r="CH43" s="107">
        <f>CH42</f>
        <v>0</v>
      </c>
      <c r="CI43" s="107">
        <f>CI42</f>
        <v>0</v>
      </c>
      <c r="CJ43" s="108"/>
      <c r="CK43" s="108"/>
      <c r="CL43" s="108"/>
      <c r="CM43" s="108"/>
      <c r="CN43" s="108"/>
      <c r="CO43" s="108"/>
      <c r="CP43" s="107">
        <f>CJ42+CL42+CN42+CP42</f>
        <v>4433.0959999999995</v>
      </c>
      <c r="CQ43" s="107">
        <f>CK42+CM42+CO42+CQ42</f>
        <v>4432.4290000000001</v>
      </c>
      <c r="CV43" s="107">
        <f>CR42+CT42+CV42</f>
        <v>0</v>
      </c>
      <c r="CW43" s="107">
        <f>CS42+CU42+CW42</f>
        <v>0</v>
      </c>
      <c r="DL43" s="107">
        <f>CX42+CZ42+DB42+DD42+DF42+DH42+DJ42+DL42</f>
        <v>0</v>
      </c>
      <c r="DM43" s="107">
        <f>CY42+DA42+DC42+DE42+DG42+DI42+DK42+DM42</f>
        <v>0</v>
      </c>
      <c r="DR43" s="107">
        <f>DN42+DP42+DR42</f>
        <v>0</v>
      </c>
      <c r="DS43" s="107">
        <f>DO42+DQ42+DS42</f>
        <v>0</v>
      </c>
      <c r="FH43" s="240">
        <f>DN42+DP42+DR42+DT42+DV42+DX42+DZ42+EB42+EH42+EJ42+EL42+EN42+EP42+ER42+ET42+EV42+EX42+EZ42+FB42+FD42+FF42+FH42</f>
        <v>0</v>
      </c>
      <c r="FI43" s="240">
        <f>DO42+DQ42+DS42+DU42+DW42+DY42+EA42+EC42+EI42+EK42+EM42+EO42+EQ42+ES42+EU42+EW42+EY42+FA42+FC42+FE42+FG42+FI42</f>
        <v>0</v>
      </c>
    </row>
    <row r="44" spans="1:167">
      <c r="FH44" s="239">
        <f>DT42+DV42+DX42+DZ42+EB42+EH42+EJ42+EL42+EN42+EP42+ER42+ET42+EV42+EX42+EZ42+FB42+FD42+FF42+FH42</f>
        <v>0</v>
      </c>
      <c r="FI44" s="239">
        <f>DU42+DW42+DY42+EA42+EC42+EI42+EK42+EM42+EO42+EQ42+ES42+EU42+EW42+EY42+FA42+FC42+FE42+FG42+FI42</f>
        <v>0</v>
      </c>
    </row>
  </sheetData>
  <mergeCells count="83">
    <mergeCell ref="FJ2:FK2"/>
    <mergeCell ref="ET2:EU2"/>
    <mergeCell ref="DR2:DS2"/>
    <mergeCell ref="FH2:FI2"/>
    <mergeCell ref="EN2:EO2"/>
    <mergeCell ref="EP2:EQ2"/>
    <mergeCell ref="DZ2:EA2"/>
    <mergeCell ref="DV2:DW2"/>
    <mergeCell ref="FB2:FC2"/>
    <mergeCell ref="EV2:EW2"/>
    <mergeCell ref="FD2:FE2"/>
    <mergeCell ref="ER2:ES2"/>
    <mergeCell ref="EX2:EY2"/>
    <mergeCell ref="EJ2:EK2"/>
    <mergeCell ref="EL2:EM2"/>
    <mergeCell ref="DN2:DO2"/>
    <mergeCell ref="FF2:FG2"/>
    <mergeCell ref="DT2:DU2"/>
    <mergeCell ref="ED2:EE2"/>
    <mergeCell ref="DP2:DQ2"/>
    <mergeCell ref="EF2:EG2"/>
    <mergeCell ref="EZ2:FA2"/>
    <mergeCell ref="EB2:EC2"/>
    <mergeCell ref="DX2:DY2"/>
    <mergeCell ref="EH2:EI2"/>
    <mergeCell ref="DB2:DC2"/>
    <mergeCell ref="DH2:DI2"/>
    <mergeCell ref="CV2:CW2"/>
    <mergeCell ref="DD2:DE2"/>
    <mergeCell ref="DL2:DM2"/>
    <mergeCell ref="DJ2:DK2"/>
    <mergeCell ref="DF2:DG2"/>
    <mergeCell ref="CZ2:DA2"/>
    <mergeCell ref="CX2:CY2"/>
    <mergeCell ref="BH2:BI2"/>
    <mergeCell ref="BL2:BM2"/>
    <mergeCell ref="CB2:CC2"/>
    <mergeCell ref="CR2:CS2"/>
    <mergeCell ref="BP2:BQ2"/>
    <mergeCell ref="CP2:CQ2"/>
    <mergeCell ref="CJ2:CK2"/>
    <mergeCell ref="BX2:BY2"/>
    <mergeCell ref="CN2:CO2"/>
    <mergeCell ref="BR2:BS2"/>
    <mergeCell ref="CD2:CE2"/>
    <mergeCell ref="CF2:CG2"/>
    <mergeCell ref="CL2:CM2"/>
    <mergeCell ref="CT2:CU2"/>
    <mergeCell ref="BZ2:CA2"/>
    <mergeCell ref="BJ2:BK2"/>
    <mergeCell ref="BV2:BW2"/>
    <mergeCell ref="BN2:BO2"/>
    <mergeCell ref="CH2:CI2"/>
    <mergeCell ref="Z2:AA2"/>
    <mergeCell ref="AT2:AU2"/>
    <mergeCell ref="AD2:AE2"/>
    <mergeCell ref="BB2:BC2"/>
    <mergeCell ref="BF2:BG2"/>
    <mergeCell ref="BD2:BE2"/>
    <mergeCell ref="AX2:AY2"/>
    <mergeCell ref="AV2:AW2"/>
    <mergeCell ref="AZ2:BA2"/>
    <mergeCell ref="AH2:AI2"/>
    <mergeCell ref="AJ2:AK2"/>
    <mergeCell ref="AP2:AQ2"/>
    <mergeCell ref="AF2:AG2"/>
    <mergeCell ref="AL2:AM2"/>
    <mergeCell ref="B2:C2"/>
    <mergeCell ref="AB2:AC2"/>
    <mergeCell ref="BT2:BU2"/>
    <mergeCell ref="T2:U2"/>
    <mergeCell ref="V2:W2"/>
    <mergeCell ref="X2:Y2"/>
    <mergeCell ref="D2:E2"/>
    <mergeCell ref="N2:O2"/>
    <mergeCell ref="P2:Q2"/>
    <mergeCell ref="R2:S2"/>
    <mergeCell ref="L2:M2"/>
    <mergeCell ref="F2:G2"/>
    <mergeCell ref="H2:I2"/>
    <mergeCell ref="J2:K2"/>
    <mergeCell ref="AR2:AS2"/>
    <mergeCell ref="AN2:AO2"/>
  </mergeCells>
  <pageMargins left="0.31496062992125984" right="0" top="1.1417322834645669" bottom="0.19685039370078741"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dimension ref="A2:EX46"/>
  <sheetViews>
    <sheetView zoomScaleNormal="100" zoomScaleSheetLayoutView="100" workbookViewId="0">
      <pane xSplit="1" ySplit="3" topLeftCell="DS4" activePane="bottomRight" state="frozen"/>
      <selection pane="topRight" activeCell="B1" sqref="B1"/>
      <selection pane="bottomLeft" activeCell="A4" sqref="A4"/>
      <selection pane="bottomRight" activeCell="ER31" sqref="ER31"/>
    </sheetView>
  </sheetViews>
  <sheetFormatPr defaultRowHeight="12.75"/>
  <cols>
    <col min="1" max="1" width="6" style="104" customWidth="1"/>
    <col min="2" max="4" width="7.42578125" style="105" customWidth="1"/>
    <col min="5" max="40" width="9.28515625" style="105" customWidth="1"/>
    <col min="41" max="41" width="9.28515625" style="407" customWidth="1"/>
    <col min="42" max="43" width="7" style="407" customWidth="1"/>
    <col min="44" max="50" width="9.28515625" style="105" customWidth="1"/>
    <col min="51" max="52" width="8" style="105" customWidth="1"/>
    <col min="53" max="80" width="9.28515625" style="105" customWidth="1"/>
    <col min="81" max="82" width="7.42578125" style="105" customWidth="1"/>
    <col min="83" max="88" width="9.28515625" style="105" hidden="1" customWidth="1"/>
    <col min="89" max="103" width="9.28515625" style="27" customWidth="1"/>
    <col min="104" max="109" width="9.28515625" style="27" hidden="1" customWidth="1"/>
    <col min="110" max="112" width="9.28515625" style="27" customWidth="1"/>
    <col min="113" max="115" width="9.28515625" style="27" hidden="1" customWidth="1"/>
    <col min="116" max="117" width="7.85546875" style="27" customWidth="1"/>
    <col min="118" max="118" width="7.5703125" style="27" customWidth="1"/>
    <col min="119" max="121" width="9.28515625" style="406" customWidth="1"/>
    <col min="122" max="130" width="9.28515625" style="27" customWidth="1"/>
    <col min="131" max="133" width="9.28515625" style="406" customWidth="1"/>
    <col min="134" max="137" width="9.28515625" style="27" customWidth="1"/>
    <col min="138" max="138" width="6.140625" style="27" customWidth="1"/>
    <col min="139" max="142" width="9.28515625" style="27" customWidth="1"/>
    <col min="143" max="145" width="9.28515625" style="27" hidden="1" customWidth="1"/>
    <col min="146" max="151" width="9.28515625" style="27" customWidth="1"/>
    <col min="152" max="152" width="11.42578125" style="27" customWidth="1"/>
    <col min="153" max="153" width="10.140625" style="27" customWidth="1"/>
    <col min="154" max="154" width="10.28515625" style="27" customWidth="1"/>
    <col min="155" max="16384" width="9.140625" style="27"/>
  </cols>
  <sheetData>
    <row r="2" spans="1:154" s="101" customFormat="1">
      <c r="A2" s="100"/>
      <c r="B2" s="1013" t="s">
        <v>31</v>
      </c>
      <c r="C2" s="1016"/>
      <c r="D2" s="1014"/>
      <c r="E2" s="1013" t="s">
        <v>361</v>
      </c>
      <c r="F2" s="1016"/>
      <c r="G2" s="1014"/>
      <c r="H2" s="1013" t="s">
        <v>36</v>
      </c>
      <c r="I2" s="1016"/>
      <c r="J2" s="1014"/>
      <c r="K2" s="1013" t="s">
        <v>511</v>
      </c>
      <c r="L2" s="1016"/>
      <c r="M2" s="1014"/>
      <c r="N2" s="1013" t="s">
        <v>356</v>
      </c>
      <c r="O2" s="1016"/>
      <c r="P2" s="1014"/>
      <c r="Q2" s="1013" t="s">
        <v>39</v>
      </c>
      <c r="R2" s="1016"/>
      <c r="S2" s="1014"/>
      <c r="T2" s="1013" t="s">
        <v>615</v>
      </c>
      <c r="U2" s="1016"/>
      <c r="V2" s="1014"/>
      <c r="W2" s="1013" t="s">
        <v>354</v>
      </c>
      <c r="X2" s="1016"/>
      <c r="Y2" s="1014"/>
      <c r="Z2" s="1013" t="s">
        <v>492</v>
      </c>
      <c r="AA2" s="1016"/>
      <c r="AB2" s="1014"/>
      <c r="AC2" s="1013" t="s">
        <v>517</v>
      </c>
      <c r="AD2" s="1016"/>
      <c r="AE2" s="1014"/>
      <c r="AF2" s="1013" t="s">
        <v>496</v>
      </c>
      <c r="AG2" s="1016"/>
      <c r="AH2" s="1014"/>
      <c r="AI2" s="1013" t="s">
        <v>41</v>
      </c>
      <c r="AJ2" s="1016"/>
      <c r="AK2" s="1014"/>
      <c r="AL2" s="1013" t="s">
        <v>497</v>
      </c>
      <c r="AM2" s="1016"/>
      <c r="AN2" s="1014"/>
      <c r="AO2" s="1017" t="s">
        <v>1417</v>
      </c>
      <c r="AP2" s="1018"/>
      <c r="AQ2" s="1019"/>
      <c r="AR2" s="1013" t="s">
        <v>608</v>
      </c>
      <c r="AS2" s="1016"/>
      <c r="AT2" s="1014"/>
      <c r="AU2" s="1013" t="s">
        <v>491</v>
      </c>
      <c r="AV2" s="1016"/>
      <c r="AW2" s="1014"/>
      <c r="AX2" s="1013" t="s">
        <v>613</v>
      </c>
      <c r="AY2" s="1016"/>
      <c r="AZ2" s="1014"/>
      <c r="BA2" s="1013" t="s">
        <v>614</v>
      </c>
      <c r="BB2" s="1016"/>
      <c r="BC2" s="1014"/>
      <c r="BD2" s="1013" t="s">
        <v>526</v>
      </c>
      <c r="BE2" s="1016"/>
      <c r="BF2" s="1014"/>
      <c r="BG2" s="1013" t="s">
        <v>528</v>
      </c>
      <c r="BH2" s="1016"/>
      <c r="BI2" s="1014"/>
      <c r="BJ2" s="1013" t="s">
        <v>530</v>
      </c>
      <c r="BK2" s="1016"/>
      <c r="BL2" s="1014"/>
      <c r="BM2" s="1013" t="s">
        <v>618</v>
      </c>
      <c r="BN2" s="1016"/>
      <c r="BO2" s="1014"/>
      <c r="BP2" s="1013" t="s">
        <v>42</v>
      </c>
      <c r="BQ2" s="1016"/>
      <c r="BR2" s="1014"/>
      <c r="BS2" s="1013" t="s">
        <v>908</v>
      </c>
      <c r="BT2" s="1016"/>
      <c r="BU2" s="1014"/>
      <c r="BV2" s="1013" t="s">
        <v>840</v>
      </c>
      <c r="BW2" s="1016"/>
      <c r="BX2" s="1014"/>
      <c r="BY2" s="1013" t="s">
        <v>616</v>
      </c>
      <c r="BZ2" s="1016"/>
      <c r="CA2" s="1014"/>
      <c r="CB2" s="1013" t="s">
        <v>912</v>
      </c>
      <c r="CC2" s="1016"/>
      <c r="CD2" s="1014"/>
      <c r="CE2" s="1013" t="s">
        <v>1280</v>
      </c>
      <c r="CF2" s="1016"/>
      <c r="CG2" s="1014"/>
      <c r="CH2" s="1013" t="s">
        <v>821</v>
      </c>
      <c r="CI2" s="1016"/>
      <c r="CJ2" s="1014"/>
      <c r="CK2" s="1013" t="s">
        <v>45</v>
      </c>
      <c r="CL2" s="1016"/>
      <c r="CM2" s="1014"/>
      <c r="CN2" s="1013" t="s">
        <v>617</v>
      </c>
      <c r="CO2" s="1016"/>
      <c r="CP2" s="1014"/>
      <c r="CQ2" s="1013" t="s">
        <v>981</v>
      </c>
      <c r="CR2" s="1016"/>
      <c r="CS2" s="1014"/>
      <c r="CT2" s="1013" t="s">
        <v>488</v>
      </c>
      <c r="CU2" s="1016"/>
      <c r="CV2" s="1014"/>
      <c r="CW2" s="1013" t="s">
        <v>493</v>
      </c>
      <c r="CX2" s="1016"/>
      <c r="CY2" s="1014"/>
      <c r="CZ2" s="1013" t="s">
        <v>642</v>
      </c>
      <c r="DA2" s="1016"/>
      <c r="DB2" s="1014"/>
      <c r="DC2" s="1013" t="s">
        <v>489</v>
      </c>
      <c r="DD2" s="1016"/>
      <c r="DE2" s="1014"/>
      <c r="DF2" s="1013" t="s">
        <v>609</v>
      </c>
      <c r="DG2" s="1016"/>
      <c r="DH2" s="1014"/>
      <c r="DI2" s="1013" t="s">
        <v>607</v>
      </c>
      <c r="DJ2" s="1016"/>
      <c r="DK2" s="1014"/>
      <c r="DL2" s="1013" t="s">
        <v>752</v>
      </c>
      <c r="DM2" s="1016"/>
      <c r="DN2" s="1014"/>
      <c r="DO2" s="1017" t="s">
        <v>1340</v>
      </c>
      <c r="DP2" s="1018"/>
      <c r="DQ2" s="1019"/>
      <c r="DR2" s="1013" t="s">
        <v>606</v>
      </c>
      <c r="DS2" s="1016"/>
      <c r="DT2" s="1014"/>
      <c r="DU2" s="1013" t="s">
        <v>976</v>
      </c>
      <c r="DV2" s="1016"/>
      <c r="DW2" s="1014"/>
      <c r="DX2" s="1013" t="s">
        <v>820</v>
      </c>
      <c r="DY2" s="1016"/>
      <c r="DZ2" s="1014"/>
      <c r="EA2" s="1017" t="s">
        <v>975</v>
      </c>
      <c r="EB2" s="1018"/>
      <c r="EC2" s="1019"/>
      <c r="ED2" s="1013" t="s">
        <v>974</v>
      </c>
      <c r="EE2" s="1016"/>
      <c r="EF2" s="1014"/>
      <c r="EG2" s="1013" t="s">
        <v>490</v>
      </c>
      <c r="EH2" s="1016"/>
      <c r="EI2" s="1014"/>
      <c r="EJ2" s="1013" t="s">
        <v>49</v>
      </c>
      <c r="EK2" s="1016"/>
      <c r="EL2" s="1014"/>
      <c r="EM2" s="1013" t="s">
        <v>610</v>
      </c>
      <c r="EN2" s="1016"/>
      <c r="EO2" s="1014"/>
      <c r="EP2" s="1013" t="s">
        <v>612</v>
      </c>
      <c r="EQ2" s="1016"/>
      <c r="ER2" s="1014"/>
      <c r="ES2" s="1013" t="s">
        <v>952</v>
      </c>
      <c r="ET2" s="1016"/>
      <c r="EU2" s="1014"/>
      <c r="EV2" s="1013" t="s">
        <v>374</v>
      </c>
      <c r="EW2" s="1016"/>
      <c r="EX2" s="1014"/>
    </row>
    <row r="3" spans="1:154" s="101" customFormat="1">
      <c r="A3" s="100"/>
      <c r="B3" s="611" t="s">
        <v>872</v>
      </c>
      <c r="C3" s="611" t="s">
        <v>1281</v>
      </c>
      <c r="D3" s="610" t="s">
        <v>1416</v>
      </c>
      <c r="E3" s="611" t="s">
        <v>872</v>
      </c>
      <c r="F3" s="611" t="s">
        <v>1281</v>
      </c>
      <c r="G3" s="610" t="s">
        <v>1416</v>
      </c>
      <c r="H3" s="611" t="s">
        <v>872</v>
      </c>
      <c r="I3" s="611" t="s">
        <v>1281</v>
      </c>
      <c r="J3" s="610" t="s">
        <v>1416</v>
      </c>
      <c r="K3" s="611" t="s">
        <v>872</v>
      </c>
      <c r="L3" s="611" t="s">
        <v>1281</v>
      </c>
      <c r="M3" s="610" t="s">
        <v>1416</v>
      </c>
      <c r="N3" s="611" t="s">
        <v>872</v>
      </c>
      <c r="O3" s="611" t="s">
        <v>1281</v>
      </c>
      <c r="P3" s="610" t="s">
        <v>1416</v>
      </c>
      <c r="Q3" s="611" t="s">
        <v>872</v>
      </c>
      <c r="R3" s="611" t="s">
        <v>1281</v>
      </c>
      <c r="S3" s="610" t="s">
        <v>1416</v>
      </c>
      <c r="T3" s="611" t="s">
        <v>872</v>
      </c>
      <c r="U3" s="611" t="s">
        <v>1281</v>
      </c>
      <c r="V3" s="610" t="s">
        <v>1416</v>
      </c>
      <c r="W3" s="611" t="s">
        <v>872</v>
      </c>
      <c r="X3" s="611" t="s">
        <v>1281</v>
      </c>
      <c r="Y3" s="610" t="s">
        <v>1416</v>
      </c>
      <c r="Z3" s="611" t="s">
        <v>872</v>
      </c>
      <c r="AA3" s="611" t="s">
        <v>1281</v>
      </c>
      <c r="AB3" s="610" t="s">
        <v>1416</v>
      </c>
      <c r="AC3" s="611" t="s">
        <v>872</v>
      </c>
      <c r="AD3" s="611" t="s">
        <v>1281</v>
      </c>
      <c r="AE3" s="610" t="s">
        <v>1416</v>
      </c>
      <c r="AF3" s="611" t="s">
        <v>872</v>
      </c>
      <c r="AG3" s="611" t="s">
        <v>1281</v>
      </c>
      <c r="AH3" s="610" t="s">
        <v>1416</v>
      </c>
      <c r="AI3" s="611" t="s">
        <v>872</v>
      </c>
      <c r="AJ3" s="611" t="s">
        <v>1281</v>
      </c>
      <c r="AK3" s="610" t="s">
        <v>1416</v>
      </c>
      <c r="AL3" s="611" t="s">
        <v>872</v>
      </c>
      <c r="AM3" s="611" t="s">
        <v>1281</v>
      </c>
      <c r="AN3" s="610" t="s">
        <v>1416</v>
      </c>
      <c r="AO3" s="612" t="s">
        <v>872</v>
      </c>
      <c r="AP3" s="612" t="s">
        <v>1281</v>
      </c>
      <c r="AQ3" s="624" t="s">
        <v>1416</v>
      </c>
      <c r="AR3" s="611" t="s">
        <v>872</v>
      </c>
      <c r="AS3" s="611" t="s">
        <v>1281</v>
      </c>
      <c r="AT3" s="610" t="s">
        <v>1416</v>
      </c>
      <c r="AU3" s="611" t="s">
        <v>872</v>
      </c>
      <c r="AV3" s="611" t="s">
        <v>1281</v>
      </c>
      <c r="AW3" s="610" t="s">
        <v>1416</v>
      </c>
      <c r="AX3" s="611" t="s">
        <v>872</v>
      </c>
      <c r="AY3" s="611" t="s">
        <v>1281</v>
      </c>
      <c r="AZ3" s="610" t="s">
        <v>1416</v>
      </c>
      <c r="BA3" s="611" t="s">
        <v>872</v>
      </c>
      <c r="BB3" s="611" t="s">
        <v>1281</v>
      </c>
      <c r="BC3" s="610" t="s">
        <v>1416</v>
      </c>
      <c r="BD3" s="611" t="s">
        <v>872</v>
      </c>
      <c r="BE3" s="611" t="s">
        <v>1281</v>
      </c>
      <c r="BF3" s="610" t="s">
        <v>1416</v>
      </c>
      <c r="BG3" s="611" t="s">
        <v>872</v>
      </c>
      <c r="BH3" s="611" t="s">
        <v>1281</v>
      </c>
      <c r="BI3" s="610" t="s">
        <v>1416</v>
      </c>
      <c r="BJ3" s="611" t="s">
        <v>872</v>
      </c>
      <c r="BK3" s="611" t="s">
        <v>1281</v>
      </c>
      <c r="BL3" s="610" t="s">
        <v>1416</v>
      </c>
      <c r="BM3" s="611" t="s">
        <v>872</v>
      </c>
      <c r="BN3" s="611" t="s">
        <v>1281</v>
      </c>
      <c r="BO3" s="610" t="s">
        <v>1416</v>
      </c>
      <c r="BP3" s="611" t="s">
        <v>872</v>
      </c>
      <c r="BQ3" s="611" t="s">
        <v>1281</v>
      </c>
      <c r="BR3" s="610" t="s">
        <v>1416</v>
      </c>
      <c r="BS3" s="611" t="s">
        <v>872</v>
      </c>
      <c r="BT3" s="611" t="s">
        <v>1281</v>
      </c>
      <c r="BU3" s="610" t="s">
        <v>1416</v>
      </c>
      <c r="BV3" s="611" t="s">
        <v>872</v>
      </c>
      <c r="BW3" s="611" t="s">
        <v>1281</v>
      </c>
      <c r="BX3" s="610" t="s">
        <v>1416</v>
      </c>
      <c r="BY3" s="611" t="s">
        <v>872</v>
      </c>
      <c r="BZ3" s="611" t="s">
        <v>1281</v>
      </c>
      <c r="CA3" s="610" t="s">
        <v>1416</v>
      </c>
      <c r="CB3" s="611" t="s">
        <v>872</v>
      </c>
      <c r="CC3" s="611" t="s">
        <v>1281</v>
      </c>
      <c r="CD3" s="610" t="s">
        <v>1416</v>
      </c>
      <c r="CE3" s="611" t="s">
        <v>872</v>
      </c>
      <c r="CF3" s="611" t="s">
        <v>1281</v>
      </c>
      <c r="CG3" s="610" t="s">
        <v>1416</v>
      </c>
      <c r="CH3" s="611" t="s">
        <v>872</v>
      </c>
      <c r="CI3" s="611" t="s">
        <v>1281</v>
      </c>
      <c r="CJ3" s="610" t="s">
        <v>1416</v>
      </c>
      <c r="CK3" s="611" t="s">
        <v>872</v>
      </c>
      <c r="CL3" s="611" t="s">
        <v>1281</v>
      </c>
      <c r="CM3" s="610" t="s">
        <v>1416</v>
      </c>
      <c r="CN3" s="611" t="s">
        <v>872</v>
      </c>
      <c r="CO3" s="611" t="s">
        <v>1281</v>
      </c>
      <c r="CP3" s="610" t="s">
        <v>1416</v>
      </c>
      <c r="CQ3" s="611" t="s">
        <v>872</v>
      </c>
      <c r="CR3" s="611" t="s">
        <v>1281</v>
      </c>
      <c r="CS3" s="610" t="s">
        <v>1416</v>
      </c>
      <c r="CT3" s="611" t="s">
        <v>872</v>
      </c>
      <c r="CU3" s="611" t="s">
        <v>1281</v>
      </c>
      <c r="CV3" s="610" t="s">
        <v>1416</v>
      </c>
      <c r="CW3" s="611" t="s">
        <v>872</v>
      </c>
      <c r="CX3" s="611" t="s">
        <v>1281</v>
      </c>
      <c r="CY3" s="610" t="s">
        <v>1416</v>
      </c>
      <c r="CZ3" s="611" t="s">
        <v>872</v>
      </c>
      <c r="DA3" s="611" t="s">
        <v>1281</v>
      </c>
      <c r="DB3" s="610" t="s">
        <v>1416</v>
      </c>
      <c r="DC3" s="611" t="s">
        <v>872</v>
      </c>
      <c r="DD3" s="611" t="s">
        <v>1281</v>
      </c>
      <c r="DE3" s="610" t="s">
        <v>1416</v>
      </c>
      <c r="DF3" s="611" t="s">
        <v>872</v>
      </c>
      <c r="DG3" s="611" t="s">
        <v>1281</v>
      </c>
      <c r="DH3" s="610" t="s">
        <v>1416</v>
      </c>
      <c r="DI3" s="611" t="s">
        <v>872</v>
      </c>
      <c r="DJ3" s="611" t="s">
        <v>1281</v>
      </c>
      <c r="DK3" s="610" t="s">
        <v>1416</v>
      </c>
      <c r="DL3" s="611" t="s">
        <v>872</v>
      </c>
      <c r="DM3" s="611" t="s">
        <v>1281</v>
      </c>
      <c r="DN3" s="610" t="s">
        <v>1416</v>
      </c>
      <c r="DO3" s="612" t="s">
        <v>872</v>
      </c>
      <c r="DP3" s="612" t="s">
        <v>1281</v>
      </c>
      <c r="DQ3" s="624" t="s">
        <v>1416</v>
      </c>
      <c r="DR3" s="611" t="s">
        <v>872</v>
      </c>
      <c r="DS3" s="611" t="s">
        <v>1281</v>
      </c>
      <c r="DT3" s="610" t="s">
        <v>1416</v>
      </c>
      <c r="DU3" s="611" t="s">
        <v>872</v>
      </c>
      <c r="DV3" s="611" t="s">
        <v>1281</v>
      </c>
      <c r="DW3" s="610" t="s">
        <v>1416</v>
      </c>
      <c r="DX3" s="611" t="s">
        <v>872</v>
      </c>
      <c r="DY3" s="611" t="s">
        <v>1281</v>
      </c>
      <c r="DZ3" s="610" t="s">
        <v>1416</v>
      </c>
      <c r="EA3" s="612" t="s">
        <v>872</v>
      </c>
      <c r="EB3" s="612" t="s">
        <v>1281</v>
      </c>
      <c r="EC3" s="624" t="s">
        <v>1416</v>
      </c>
      <c r="ED3" s="611" t="s">
        <v>872</v>
      </c>
      <c r="EE3" s="611" t="s">
        <v>1281</v>
      </c>
      <c r="EF3" s="610" t="s">
        <v>1416</v>
      </c>
      <c r="EG3" s="611" t="s">
        <v>872</v>
      </c>
      <c r="EH3" s="611" t="s">
        <v>1281</v>
      </c>
      <c r="EI3" s="610" t="s">
        <v>1416</v>
      </c>
      <c r="EJ3" s="611" t="s">
        <v>872</v>
      </c>
      <c r="EK3" s="611" t="s">
        <v>1281</v>
      </c>
      <c r="EL3" s="610" t="s">
        <v>1416</v>
      </c>
      <c r="EM3" s="611" t="s">
        <v>872</v>
      </c>
      <c r="EN3" s="611" t="s">
        <v>1281</v>
      </c>
      <c r="EO3" s="610" t="s">
        <v>1416</v>
      </c>
      <c r="EP3" s="611" t="s">
        <v>872</v>
      </c>
      <c r="EQ3" s="611" t="s">
        <v>1281</v>
      </c>
      <c r="ER3" s="610" t="s">
        <v>1416</v>
      </c>
      <c r="ES3" s="611" t="s">
        <v>872</v>
      </c>
      <c r="ET3" s="611" t="s">
        <v>1281</v>
      </c>
      <c r="EU3" s="610" t="s">
        <v>1416</v>
      </c>
      <c r="EV3" s="611" t="s">
        <v>872</v>
      </c>
      <c r="EW3" s="611" t="s">
        <v>1281</v>
      </c>
      <c r="EX3" s="610" t="s">
        <v>1416</v>
      </c>
    </row>
    <row r="4" spans="1:154">
      <c r="A4" s="102" t="s">
        <v>347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404"/>
      <c r="AP4" s="404"/>
      <c r="AQ4" s="404"/>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v>585.79999999999995</v>
      </c>
      <c r="CU4" s="26">
        <v>585.79999999999995</v>
      </c>
      <c r="CV4" s="26">
        <v>585.79999999999995</v>
      </c>
      <c r="CW4" s="26">
        <v>1950</v>
      </c>
      <c r="CX4" s="26">
        <v>1950</v>
      </c>
      <c r="CY4" s="26">
        <v>1950</v>
      </c>
      <c r="CZ4" s="26"/>
      <c r="DA4" s="26"/>
      <c r="DB4" s="26"/>
      <c r="DC4" s="26"/>
      <c r="DD4" s="26"/>
      <c r="DE4" s="26"/>
      <c r="DF4" s="26"/>
      <c r="DG4" s="26"/>
      <c r="DH4" s="26"/>
      <c r="DI4" s="26"/>
      <c r="DJ4" s="26"/>
      <c r="DK4" s="26"/>
      <c r="DL4" s="26"/>
      <c r="DM4" s="26"/>
      <c r="DN4" s="26"/>
      <c r="DO4" s="404"/>
      <c r="DP4" s="404"/>
      <c r="DQ4" s="404"/>
      <c r="DR4" s="26"/>
      <c r="DS4" s="26"/>
      <c r="DT4" s="26"/>
      <c r="DU4" s="26"/>
      <c r="DV4" s="26"/>
      <c r="DW4" s="26"/>
      <c r="DX4" s="26"/>
      <c r="DY4" s="26"/>
      <c r="DZ4" s="26"/>
      <c r="EA4" s="404"/>
      <c r="EB4" s="404"/>
      <c r="EC4" s="404"/>
      <c r="ED4" s="26"/>
      <c r="EE4" s="26"/>
      <c r="EF4" s="26"/>
      <c r="EG4" s="26"/>
      <c r="EH4" s="26"/>
      <c r="EI4" s="26"/>
      <c r="EJ4" s="26"/>
      <c r="EK4" s="26"/>
      <c r="EL4" s="26"/>
      <c r="EM4" s="26"/>
      <c r="EN4" s="26"/>
      <c r="EO4" s="26"/>
      <c r="EP4" s="26"/>
      <c r="EQ4" s="26"/>
      <c r="ER4" s="26"/>
      <c r="ES4" s="26"/>
      <c r="ET4" s="26"/>
      <c r="EU4" s="26"/>
      <c r="EV4" s="408">
        <f>B4+E4+H4+K4+N4+Q4+T4+W4+Z4+AC4+AF4+AI4+AL4+AO4+AR4+AU4+AX4+BA4+BD4+BG4+BJ4+BM4+BP4+BS4+BV4+BY4+CB4+CE4+CH4+CK4+CN4+CQ4+CT4+CW4+CZ4+DC4+DF4+DI4+DL4+DO4+DR4+DU4+DX4+EA4+ED4+EG4+EJ4+EM4+EP4+ES4</f>
        <v>2535.8000000000002</v>
      </c>
      <c r="EW4" s="408">
        <f t="shared" ref="EW4:EX4" si="0">C4+F4+I4+L4+O4+R4+U4+X4+AA4+AD4+AG4+AJ4+AM4+AP4+AS4+AV4+AY4+BB4+BE4+BH4+BK4+BN4+BQ4+BT4+BW4+BZ4+CC4+CF4+CI4+CL4+CO4+CR4+CU4+CX4+DA4+DD4+DG4+DJ4+DM4+DP4+DS4+DV4+DY4+EB4+EE4+EH4+EK4+EN4+EQ4+ET4</f>
        <v>2535.8000000000002</v>
      </c>
      <c r="EX4" s="408">
        <f t="shared" si="0"/>
        <v>2535.8000000000002</v>
      </c>
    </row>
    <row r="5" spans="1:154">
      <c r="A5" s="102" t="s">
        <v>348</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404"/>
      <c r="AP5" s="404"/>
      <c r="AQ5" s="404"/>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v>627.4</v>
      </c>
      <c r="CU5" s="26">
        <v>796.2</v>
      </c>
      <c r="CV5" s="26">
        <v>797.4</v>
      </c>
      <c r="CW5" s="26"/>
      <c r="CX5" s="26"/>
      <c r="CY5" s="26"/>
      <c r="CZ5" s="26"/>
      <c r="DA5" s="26"/>
      <c r="DB5" s="26"/>
      <c r="DC5" s="26"/>
      <c r="DD5" s="26"/>
      <c r="DE5" s="26"/>
      <c r="DF5" s="26"/>
      <c r="DG5" s="26"/>
      <c r="DH5" s="26"/>
      <c r="DI5" s="26"/>
      <c r="DJ5" s="26"/>
      <c r="DK5" s="26"/>
      <c r="DL5" s="26"/>
      <c r="DM5" s="26"/>
      <c r="DN5" s="26"/>
      <c r="DO5" s="404"/>
      <c r="DP5" s="404"/>
      <c r="DQ5" s="404"/>
      <c r="DR5" s="26"/>
      <c r="DS5" s="26"/>
      <c r="DT5" s="26"/>
      <c r="DU5" s="26"/>
      <c r="DV5" s="26"/>
      <c r="DW5" s="26"/>
      <c r="DX5" s="26"/>
      <c r="DY5" s="26"/>
      <c r="DZ5" s="26"/>
      <c r="EA5" s="404"/>
      <c r="EB5" s="404"/>
      <c r="EC5" s="404"/>
      <c r="ED5" s="26"/>
      <c r="EE5" s="26"/>
      <c r="EF5" s="26"/>
      <c r="EG5" s="26"/>
      <c r="EH5" s="26"/>
      <c r="EI5" s="26"/>
      <c r="EJ5" s="26"/>
      <c r="EK5" s="26"/>
      <c r="EL5" s="26"/>
      <c r="EM5" s="26"/>
      <c r="EN5" s="26"/>
      <c r="EO5" s="26"/>
      <c r="EP5" s="26"/>
      <c r="EQ5" s="26"/>
      <c r="ER5" s="26"/>
      <c r="ES5" s="26"/>
      <c r="ET5" s="26"/>
      <c r="EU5" s="26"/>
      <c r="EV5" s="408">
        <f t="shared" ref="EV5:EV43" si="1">B5+E5+H5+K5+N5+Q5+T5+W5+Z5+AC5+AF5+AI5+AL5+AO5+AR5+AU5+AX5+BA5+BD5+BG5+BJ5+BM5+BP5+BS5+BV5+BY5+CB5+CE5+CH5+CK5+CN5+CQ5+CT5+CW5+CZ5+DC5+DF5+DI5+DL5+DO5+DR5+DU5+DX5+EA5+ED5+EG5+EJ5+EM5+EP5+ES5</f>
        <v>627.4</v>
      </c>
      <c r="EW5" s="408">
        <f t="shared" ref="EW5:EW43" si="2">C5+F5+I5+L5+O5+R5+U5+X5+AA5+AD5+AG5+AJ5+AM5+AP5+AS5+AV5+AY5+BB5+BE5+BH5+BK5+BN5+BQ5+BT5+BW5+BZ5+CC5+CF5+CI5+CL5+CO5+CR5+CU5+CX5+DA5+DD5+DG5+DJ5+DM5+DP5+DS5+DV5+DY5+EB5+EE5+EH5+EK5+EN5+EQ5+ET5</f>
        <v>796.2</v>
      </c>
      <c r="EX5" s="408">
        <f t="shared" ref="EX5:EX43" si="3">D5+G5+J5+M5+P5+S5+V5+Y5+AB5+AE5+AH5+AK5+AN5+AQ5+AT5+AW5+AZ5+BC5+BF5+BI5+BL5+BO5+BR5+BU5+BX5+CA5+CD5+CG5+CJ5+CM5+CP5+CS5+CV5+CY5+DB5+DE5+DH5+DK5+DN5+DQ5+DT5+DW5+DZ5+EC5+EF5+EI5+EL5+EO5+ER5+EU5</f>
        <v>797.4</v>
      </c>
    </row>
    <row r="6" spans="1:154">
      <c r="A6" s="102" t="s">
        <v>349</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404"/>
      <c r="AP6" s="404"/>
      <c r="AQ6" s="404"/>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f>1077.8+24430.785</f>
        <v>25508.584999999999</v>
      </c>
      <c r="CU6" s="26">
        <v>21312.637999999999</v>
      </c>
      <c r="CV6" s="26">
        <v>20944.891</v>
      </c>
      <c r="CW6" s="26">
        <v>34092</v>
      </c>
      <c r="CX6" s="26">
        <v>33960</v>
      </c>
      <c r="CY6" s="26">
        <v>33960</v>
      </c>
      <c r="CZ6" s="26"/>
      <c r="DA6" s="26"/>
      <c r="DB6" s="26"/>
      <c r="DC6" s="26">
        <v>0</v>
      </c>
      <c r="DD6" s="26">
        <v>0</v>
      </c>
      <c r="DE6" s="26">
        <v>0</v>
      </c>
      <c r="DF6" s="26"/>
      <c r="DG6" s="26"/>
      <c r="DH6" s="26"/>
      <c r="DI6" s="26"/>
      <c r="DJ6" s="26"/>
      <c r="DK6" s="26"/>
      <c r="DL6" s="26"/>
      <c r="DM6" s="26"/>
      <c r="DN6" s="26"/>
      <c r="DO6" s="404"/>
      <c r="DP6" s="404"/>
      <c r="DQ6" s="404"/>
      <c r="DR6" s="26">
        <v>936</v>
      </c>
      <c r="DS6" s="26">
        <v>0</v>
      </c>
      <c r="DT6" s="26">
        <v>0</v>
      </c>
      <c r="DU6" s="26"/>
      <c r="DV6" s="26"/>
      <c r="DW6" s="26"/>
      <c r="DX6" s="26"/>
      <c r="DY6" s="26"/>
      <c r="DZ6" s="26"/>
      <c r="EA6" s="404"/>
      <c r="EB6" s="404"/>
      <c r="EC6" s="404"/>
      <c r="ED6" s="26"/>
      <c r="EE6" s="26"/>
      <c r="EF6" s="26"/>
      <c r="EG6" s="26"/>
      <c r="EH6" s="26"/>
      <c r="EI6" s="26"/>
      <c r="EJ6" s="26"/>
      <c r="EK6" s="26"/>
      <c r="EL6" s="26"/>
      <c r="EM6" s="26"/>
      <c r="EN6" s="26"/>
      <c r="EO6" s="26"/>
      <c r="EP6" s="26"/>
      <c r="EQ6" s="26"/>
      <c r="ER6" s="26"/>
      <c r="ES6" s="26"/>
      <c r="ET6" s="26"/>
      <c r="EU6" s="26"/>
      <c r="EV6" s="408">
        <f t="shared" si="1"/>
        <v>60536.584999999999</v>
      </c>
      <c r="EW6" s="408">
        <f t="shared" si="2"/>
        <v>55272.637999999999</v>
      </c>
      <c r="EX6" s="408">
        <f t="shared" si="3"/>
        <v>54904.891000000003</v>
      </c>
    </row>
    <row r="7" spans="1:154">
      <c r="A7" s="102" t="s">
        <v>402</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404"/>
      <c r="AP7" s="404"/>
      <c r="AQ7" s="404"/>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404"/>
      <c r="DP7" s="404"/>
      <c r="DQ7" s="404"/>
      <c r="DR7" s="26"/>
      <c r="DS7" s="26"/>
      <c r="DT7" s="26"/>
      <c r="DU7" s="26"/>
      <c r="DV7" s="26"/>
      <c r="DW7" s="26"/>
      <c r="DX7" s="26"/>
      <c r="DY7" s="26"/>
      <c r="DZ7" s="26"/>
      <c r="EA7" s="404"/>
      <c r="EB7" s="404"/>
      <c r="EC7" s="404"/>
      <c r="ED7" s="26"/>
      <c r="EE7" s="26"/>
      <c r="EF7" s="26"/>
      <c r="EG7" s="26"/>
      <c r="EH7" s="26"/>
      <c r="EI7" s="26"/>
      <c r="EJ7" s="26"/>
      <c r="EK7" s="26"/>
      <c r="EL7" s="26"/>
      <c r="EM7" s="26"/>
      <c r="EN7" s="26"/>
      <c r="EO7" s="26"/>
      <c r="EP7" s="26"/>
      <c r="EQ7" s="26"/>
      <c r="ER7" s="26"/>
      <c r="ES7" s="26"/>
      <c r="ET7" s="26"/>
      <c r="EU7" s="26"/>
      <c r="EV7" s="408">
        <f t="shared" si="1"/>
        <v>0</v>
      </c>
      <c r="EW7" s="408">
        <f t="shared" si="2"/>
        <v>0</v>
      </c>
      <c r="EX7" s="408">
        <f t="shared" si="3"/>
        <v>0</v>
      </c>
    </row>
    <row r="8" spans="1:154">
      <c r="A8" s="102" t="s">
        <v>350</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404"/>
      <c r="AP8" s="404"/>
      <c r="AQ8" s="404"/>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f>6424.86+285.79</f>
        <v>6710.65</v>
      </c>
      <c r="CU8" s="26">
        <f>6314.46+285.79</f>
        <v>6600.25</v>
      </c>
      <c r="CV8" s="26">
        <f>6327.66+285.79</f>
        <v>6613.45</v>
      </c>
      <c r="CW8" s="26">
        <f>15981.24+946.11</f>
        <v>16927.349999999999</v>
      </c>
      <c r="CX8" s="26">
        <f>15958.24+946.11</f>
        <v>16904.349999999999</v>
      </c>
      <c r="CY8" s="26">
        <f>15958.24+946.11</f>
        <v>16904.349999999999</v>
      </c>
      <c r="CZ8" s="26"/>
      <c r="DA8" s="26"/>
      <c r="DB8" s="26"/>
      <c r="DC8" s="26"/>
      <c r="DD8" s="26"/>
      <c r="DE8" s="26"/>
      <c r="DF8" s="26"/>
      <c r="DG8" s="26"/>
      <c r="DH8" s="26"/>
      <c r="DI8" s="26"/>
      <c r="DJ8" s="26"/>
      <c r="DK8" s="26"/>
      <c r="DL8" s="26"/>
      <c r="DM8" s="26"/>
      <c r="DN8" s="26"/>
      <c r="DO8" s="404"/>
      <c r="DP8" s="404"/>
      <c r="DQ8" s="404"/>
      <c r="DR8" s="26">
        <v>993</v>
      </c>
      <c r="DS8" s="26">
        <v>0</v>
      </c>
      <c r="DT8" s="26">
        <v>180</v>
      </c>
      <c r="DU8" s="26"/>
      <c r="DV8" s="26"/>
      <c r="DW8" s="26"/>
      <c r="DX8" s="26"/>
      <c r="DY8" s="26"/>
      <c r="DZ8" s="26"/>
      <c r="EA8" s="404"/>
      <c r="EB8" s="404"/>
      <c r="EC8" s="404"/>
      <c r="ED8" s="26"/>
      <c r="EE8" s="26"/>
      <c r="EF8" s="26"/>
      <c r="EG8" s="26"/>
      <c r="EH8" s="26"/>
      <c r="EI8" s="26"/>
      <c r="EJ8" s="26"/>
      <c r="EK8" s="26"/>
      <c r="EL8" s="26"/>
      <c r="EM8" s="26"/>
      <c r="EN8" s="26"/>
      <c r="EO8" s="26"/>
      <c r="EP8" s="26"/>
      <c r="EQ8" s="26"/>
      <c r="ER8" s="26"/>
      <c r="ES8" s="26"/>
      <c r="ET8" s="26"/>
      <c r="EU8" s="26"/>
      <c r="EV8" s="408">
        <f t="shared" si="1"/>
        <v>24631</v>
      </c>
      <c r="EW8" s="408">
        <f t="shared" si="2"/>
        <v>23504.6</v>
      </c>
      <c r="EX8" s="408">
        <f t="shared" si="3"/>
        <v>23697.8</v>
      </c>
    </row>
    <row r="9" spans="1:154">
      <c r="A9" s="102" t="s">
        <v>408</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404"/>
      <c r="AP9" s="404"/>
      <c r="AQ9" s="404"/>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404"/>
      <c r="DP9" s="404"/>
      <c r="DQ9" s="404"/>
      <c r="DR9" s="26"/>
      <c r="DS9" s="26"/>
      <c r="DT9" s="26"/>
      <c r="DU9" s="26"/>
      <c r="DV9" s="26"/>
      <c r="DW9" s="26"/>
      <c r="DX9" s="26"/>
      <c r="DY9" s="26"/>
      <c r="DZ9" s="26"/>
      <c r="EA9" s="404"/>
      <c r="EB9" s="404"/>
      <c r="EC9" s="404"/>
      <c r="ED9" s="26"/>
      <c r="EE9" s="26"/>
      <c r="EF9" s="26"/>
      <c r="EG9" s="26"/>
      <c r="EH9" s="26"/>
      <c r="EI9" s="26"/>
      <c r="EJ9" s="26"/>
      <c r="EK9" s="26"/>
      <c r="EL9" s="26"/>
      <c r="EM9" s="26"/>
      <c r="EN9" s="26"/>
      <c r="EO9" s="26"/>
      <c r="EP9" s="26"/>
      <c r="EQ9" s="26"/>
      <c r="ER9" s="26"/>
      <c r="ES9" s="26"/>
      <c r="ET9" s="26"/>
      <c r="EU9" s="26"/>
      <c r="EV9" s="408">
        <f t="shared" si="1"/>
        <v>0</v>
      </c>
      <c r="EW9" s="408">
        <f t="shared" si="2"/>
        <v>0</v>
      </c>
      <c r="EX9" s="408">
        <f t="shared" si="3"/>
        <v>0</v>
      </c>
    </row>
    <row r="10" spans="1:154">
      <c r="A10" s="102" t="s">
        <v>351</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404"/>
      <c r="AP10" s="404"/>
      <c r="AQ10" s="404"/>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404"/>
      <c r="DP10" s="404"/>
      <c r="DQ10" s="404"/>
      <c r="DR10" s="26"/>
      <c r="DS10" s="26"/>
      <c r="DT10" s="26"/>
      <c r="DU10" s="26"/>
      <c r="DV10" s="26"/>
      <c r="DW10" s="26"/>
      <c r="DX10" s="26">
        <v>10500</v>
      </c>
      <c r="DY10" s="26">
        <v>0</v>
      </c>
      <c r="DZ10" s="26">
        <v>0</v>
      </c>
      <c r="EA10" s="404"/>
      <c r="EB10" s="404"/>
      <c r="EC10" s="404"/>
      <c r="ED10" s="26"/>
      <c r="EE10" s="26"/>
      <c r="EF10" s="26"/>
      <c r="EG10" s="26"/>
      <c r="EH10" s="26"/>
      <c r="EI10" s="26"/>
      <c r="EJ10" s="26"/>
      <c r="EK10" s="26"/>
      <c r="EL10" s="26"/>
      <c r="EM10" s="26"/>
      <c r="EN10" s="26"/>
      <c r="EO10" s="26"/>
      <c r="EP10" s="26"/>
      <c r="EQ10" s="26"/>
      <c r="ER10" s="26"/>
      <c r="ES10" s="26"/>
      <c r="ET10" s="26"/>
      <c r="EU10" s="26"/>
      <c r="EV10" s="408">
        <f t="shared" si="1"/>
        <v>10500</v>
      </c>
      <c r="EW10" s="408">
        <f t="shared" si="2"/>
        <v>0</v>
      </c>
      <c r="EX10" s="408">
        <f t="shared" si="3"/>
        <v>0</v>
      </c>
    </row>
    <row r="11" spans="1:154">
      <c r="A11" s="102" t="s">
        <v>352</v>
      </c>
      <c r="B11" s="26">
        <f>2822.06+150</f>
        <v>2972.06</v>
      </c>
      <c r="C11" s="26">
        <v>2898.7</v>
      </c>
      <c r="D11" s="26">
        <v>2953.3</v>
      </c>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404"/>
      <c r="AP11" s="404"/>
      <c r="AQ11" s="404"/>
      <c r="AR11" s="26">
        <f>2420.6+34</f>
        <v>2454.6</v>
      </c>
      <c r="AS11" s="26">
        <f>2421+35</f>
        <v>2456</v>
      </c>
      <c r="AT11" s="26">
        <f>2431+36</f>
        <v>2467</v>
      </c>
      <c r="AU11" s="26"/>
      <c r="AV11" s="26"/>
      <c r="AW11" s="26"/>
      <c r="AX11" s="26"/>
      <c r="AY11" s="26"/>
      <c r="AZ11" s="26"/>
      <c r="BA11" s="26"/>
      <c r="BB11" s="26"/>
      <c r="BC11" s="26"/>
      <c r="BD11" s="26"/>
      <c r="BE11" s="26"/>
      <c r="BF11" s="26"/>
      <c r="BG11" s="26">
        <v>1904.1</v>
      </c>
      <c r="BH11" s="26">
        <v>0</v>
      </c>
      <c r="BI11" s="26">
        <v>0</v>
      </c>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v>0</v>
      </c>
      <c r="CR11" s="26">
        <v>0</v>
      </c>
      <c r="CS11" s="26">
        <v>0</v>
      </c>
      <c r="CT11" s="26"/>
      <c r="CU11" s="26"/>
      <c r="CV11" s="26"/>
      <c r="CW11" s="26"/>
      <c r="CX11" s="26"/>
      <c r="CY11" s="26"/>
      <c r="CZ11" s="26"/>
      <c r="DA11" s="26"/>
      <c r="DB11" s="26"/>
      <c r="DC11" s="26"/>
      <c r="DD11" s="26"/>
      <c r="DE11" s="26"/>
      <c r="DF11" s="26">
        <f>3648.2+8652.5</f>
        <v>12300.7</v>
      </c>
      <c r="DG11" s="26">
        <f>3467.6+8629.7</f>
        <v>12097.300000000001</v>
      </c>
      <c r="DH11" s="26">
        <f>3467.6+8668.4</f>
        <v>12136</v>
      </c>
      <c r="DI11" s="26"/>
      <c r="DJ11" s="26"/>
      <c r="DK11" s="26"/>
      <c r="DL11" s="26"/>
      <c r="DM11" s="26"/>
      <c r="DN11" s="26"/>
      <c r="DO11" s="404"/>
      <c r="DP11" s="404"/>
      <c r="DQ11" s="404"/>
      <c r="DR11" s="26">
        <f>160+168</f>
        <v>328</v>
      </c>
      <c r="DS11" s="26">
        <f>160+42</f>
        <v>202</v>
      </c>
      <c r="DT11" s="26">
        <f>160+168</f>
        <v>328</v>
      </c>
      <c r="DU11" s="26"/>
      <c r="DV11" s="26"/>
      <c r="DW11" s="26"/>
      <c r="DX11" s="26"/>
      <c r="DY11" s="26"/>
      <c r="DZ11" s="26"/>
      <c r="EA11" s="404">
        <v>910</v>
      </c>
      <c r="EB11" s="404">
        <v>910</v>
      </c>
      <c r="EC11" s="404">
        <v>910</v>
      </c>
      <c r="ED11" s="26">
        <f>109.793+15</f>
        <v>124.79300000000001</v>
      </c>
      <c r="EE11" s="26">
        <f>115.54+15</f>
        <v>130.54000000000002</v>
      </c>
      <c r="EF11" s="26">
        <f>121.287+15</f>
        <v>136.28700000000001</v>
      </c>
      <c r="EG11" s="26"/>
      <c r="EH11" s="26"/>
      <c r="EI11" s="26"/>
      <c r="EJ11" s="26"/>
      <c r="EK11" s="26"/>
      <c r="EL11" s="26"/>
      <c r="EM11" s="26"/>
      <c r="EN11" s="26"/>
      <c r="EO11" s="26"/>
      <c r="EP11" s="26">
        <v>221.666</v>
      </c>
      <c r="EQ11" s="26">
        <v>207.62200000000001</v>
      </c>
      <c r="ER11" s="26">
        <v>207.62200000000001</v>
      </c>
      <c r="ES11" s="26"/>
      <c r="ET11" s="26">
        <v>13747</v>
      </c>
      <c r="EU11" s="26">
        <v>27670</v>
      </c>
      <c r="EV11" s="408">
        <f t="shared" si="1"/>
        <v>21215.919000000002</v>
      </c>
      <c r="EW11" s="408">
        <f t="shared" si="2"/>
        <v>32649.162</v>
      </c>
      <c r="EX11" s="408">
        <f t="shared" si="3"/>
        <v>46808.209000000003</v>
      </c>
    </row>
    <row r="12" spans="1:154">
      <c r="A12" s="102" t="s">
        <v>375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404"/>
      <c r="AP12" s="404"/>
      <c r="AQ12" s="404"/>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404"/>
      <c r="DP12" s="404"/>
      <c r="DQ12" s="404"/>
      <c r="DR12" s="26"/>
      <c r="DS12" s="26"/>
      <c r="DT12" s="26"/>
      <c r="DU12" s="26"/>
      <c r="DV12" s="26"/>
      <c r="DW12" s="26"/>
      <c r="DX12" s="26"/>
      <c r="DY12" s="26"/>
      <c r="DZ12" s="26"/>
      <c r="EA12" s="404"/>
      <c r="EB12" s="404"/>
      <c r="EC12" s="404"/>
      <c r="ED12" s="26"/>
      <c r="EE12" s="26"/>
      <c r="EF12" s="26"/>
      <c r="EG12" s="26"/>
      <c r="EH12" s="26"/>
      <c r="EI12" s="26"/>
      <c r="EJ12" s="26"/>
      <c r="EK12" s="26"/>
      <c r="EL12" s="26"/>
      <c r="EM12" s="26"/>
      <c r="EN12" s="26"/>
      <c r="EO12" s="26"/>
      <c r="EP12" s="26"/>
      <c r="EQ12" s="26"/>
      <c r="ER12" s="26"/>
      <c r="ES12" s="26"/>
      <c r="ET12" s="26"/>
      <c r="EU12" s="26"/>
      <c r="EV12" s="408">
        <f t="shared" si="1"/>
        <v>0</v>
      </c>
      <c r="EW12" s="408">
        <f t="shared" si="2"/>
        <v>0</v>
      </c>
      <c r="EX12" s="408">
        <f t="shared" si="3"/>
        <v>0</v>
      </c>
    </row>
    <row r="13" spans="1:154">
      <c r="A13" s="102" t="s">
        <v>355</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404"/>
      <c r="AP13" s="404"/>
      <c r="AQ13" s="404"/>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404"/>
      <c r="DP13" s="404"/>
      <c r="DQ13" s="404"/>
      <c r="DR13" s="26"/>
      <c r="DS13" s="26"/>
      <c r="DT13" s="26"/>
      <c r="DU13" s="26"/>
      <c r="DV13" s="26"/>
      <c r="DW13" s="26"/>
      <c r="DX13" s="26"/>
      <c r="DY13" s="26"/>
      <c r="DZ13" s="26"/>
      <c r="EA13" s="404"/>
      <c r="EB13" s="404"/>
      <c r="EC13" s="404"/>
      <c r="ED13" s="26"/>
      <c r="EE13" s="26"/>
      <c r="EF13" s="26"/>
      <c r="EG13" s="26"/>
      <c r="EH13" s="26"/>
      <c r="EI13" s="26"/>
      <c r="EJ13" s="26"/>
      <c r="EK13" s="26"/>
      <c r="EL13" s="26"/>
      <c r="EM13" s="26"/>
      <c r="EN13" s="26"/>
      <c r="EO13" s="26"/>
      <c r="EP13" s="26"/>
      <c r="EQ13" s="26"/>
      <c r="ER13" s="26"/>
      <c r="ES13" s="26"/>
      <c r="ET13" s="26"/>
      <c r="EU13" s="26"/>
      <c r="EV13" s="408">
        <f t="shared" si="1"/>
        <v>0</v>
      </c>
      <c r="EW13" s="408">
        <f t="shared" si="2"/>
        <v>0</v>
      </c>
      <c r="EX13" s="408">
        <f t="shared" si="3"/>
        <v>0</v>
      </c>
    </row>
    <row r="14" spans="1:154">
      <c r="A14" s="102" t="s">
        <v>376</v>
      </c>
      <c r="B14" s="26"/>
      <c r="C14" s="26"/>
      <c r="D14" s="26"/>
      <c r="E14" s="26"/>
      <c r="F14" s="26"/>
      <c r="G14" s="26"/>
      <c r="H14" s="26"/>
      <c r="I14" s="26"/>
      <c r="J14" s="26"/>
      <c r="K14" s="26"/>
      <c r="L14" s="26"/>
      <c r="M14" s="26"/>
      <c r="N14" s="26"/>
      <c r="O14" s="26"/>
      <c r="P14" s="26"/>
      <c r="Q14" s="26">
        <v>363.1</v>
      </c>
      <c r="R14" s="26">
        <v>0</v>
      </c>
      <c r="S14" s="26">
        <v>145.6</v>
      </c>
      <c r="T14" s="26"/>
      <c r="U14" s="26"/>
      <c r="V14" s="26"/>
      <c r="W14" s="26"/>
      <c r="X14" s="26"/>
      <c r="Y14" s="26"/>
      <c r="Z14" s="26"/>
      <c r="AA14" s="26"/>
      <c r="AB14" s="26"/>
      <c r="AC14" s="26"/>
      <c r="AD14" s="26"/>
      <c r="AE14" s="26"/>
      <c r="AF14" s="26"/>
      <c r="AG14" s="26"/>
      <c r="AH14" s="26"/>
      <c r="AI14" s="26"/>
      <c r="AJ14" s="26"/>
      <c r="AK14" s="26"/>
      <c r="AL14" s="26"/>
      <c r="AM14" s="26"/>
      <c r="AN14" s="26"/>
      <c r="AO14" s="404"/>
      <c r="AP14" s="404"/>
      <c r="AQ14" s="404"/>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404"/>
      <c r="DP14" s="404"/>
      <c r="DQ14" s="404"/>
      <c r="DR14" s="26"/>
      <c r="DS14" s="26"/>
      <c r="DT14" s="26"/>
      <c r="DU14" s="26"/>
      <c r="DV14" s="26"/>
      <c r="DW14" s="26"/>
      <c r="DX14" s="26"/>
      <c r="DY14" s="26"/>
      <c r="DZ14" s="26"/>
      <c r="EA14" s="404"/>
      <c r="EB14" s="404"/>
      <c r="EC14" s="404"/>
      <c r="ED14" s="26"/>
      <c r="EE14" s="26"/>
      <c r="EF14" s="26"/>
      <c r="EG14" s="26"/>
      <c r="EH14" s="26"/>
      <c r="EI14" s="26"/>
      <c r="EJ14" s="26"/>
      <c r="EK14" s="26"/>
      <c r="EL14" s="26"/>
      <c r="EM14" s="26"/>
      <c r="EN14" s="26"/>
      <c r="EO14" s="26"/>
      <c r="EP14" s="26"/>
      <c r="EQ14" s="26"/>
      <c r="ER14" s="26"/>
      <c r="ES14" s="26"/>
      <c r="ET14" s="26"/>
      <c r="EU14" s="26"/>
      <c r="EV14" s="408">
        <f t="shared" si="1"/>
        <v>363.1</v>
      </c>
      <c r="EW14" s="408">
        <f t="shared" si="2"/>
        <v>0</v>
      </c>
      <c r="EX14" s="408">
        <f t="shared" si="3"/>
        <v>145.6</v>
      </c>
    </row>
    <row r="15" spans="1:154">
      <c r="A15" s="102" t="s">
        <v>1282</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404"/>
      <c r="AP15" s="404"/>
      <c r="AQ15" s="404"/>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404"/>
      <c r="DP15" s="404"/>
      <c r="DQ15" s="404"/>
      <c r="DR15" s="26"/>
      <c r="DS15" s="26"/>
      <c r="DT15" s="26"/>
      <c r="DU15" s="26"/>
      <c r="DV15" s="26"/>
      <c r="DW15" s="26"/>
      <c r="DX15" s="26"/>
      <c r="DY15" s="26"/>
      <c r="DZ15" s="26"/>
      <c r="EA15" s="404"/>
      <c r="EB15" s="404"/>
      <c r="EC15" s="404"/>
      <c r="ED15" s="26"/>
      <c r="EE15" s="26"/>
      <c r="EF15" s="26"/>
      <c r="EG15" s="26"/>
      <c r="EH15" s="26"/>
      <c r="EI15" s="26"/>
      <c r="EJ15" s="26"/>
      <c r="EK15" s="26"/>
      <c r="EL15" s="26"/>
      <c r="EM15" s="26"/>
      <c r="EN15" s="26"/>
      <c r="EO15" s="26"/>
      <c r="EP15" s="26"/>
      <c r="EQ15" s="26"/>
      <c r="ER15" s="26"/>
      <c r="ES15" s="26"/>
      <c r="ET15" s="26"/>
      <c r="EU15" s="26"/>
      <c r="EV15" s="408">
        <f t="shared" si="1"/>
        <v>0</v>
      </c>
      <c r="EW15" s="408">
        <f t="shared" si="2"/>
        <v>0</v>
      </c>
      <c r="EX15" s="408">
        <f t="shared" si="3"/>
        <v>0</v>
      </c>
    </row>
    <row r="16" spans="1:154">
      <c r="A16" s="102" t="s">
        <v>378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404"/>
      <c r="AP16" s="404"/>
      <c r="AQ16" s="404"/>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404"/>
      <c r="DP16" s="404"/>
      <c r="DQ16" s="404"/>
      <c r="DR16" s="26"/>
      <c r="DS16" s="26"/>
      <c r="DT16" s="26"/>
      <c r="DU16" s="26"/>
      <c r="DV16" s="26"/>
      <c r="DW16" s="26"/>
      <c r="DX16" s="26"/>
      <c r="DY16" s="26"/>
      <c r="DZ16" s="26"/>
      <c r="EA16" s="404"/>
      <c r="EB16" s="404"/>
      <c r="EC16" s="404"/>
      <c r="ED16" s="26"/>
      <c r="EE16" s="26"/>
      <c r="EF16" s="26"/>
      <c r="EG16" s="26"/>
      <c r="EH16" s="26"/>
      <c r="EI16" s="26"/>
      <c r="EJ16" s="26"/>
      <c r="EK16" s="26"/>
      <c r="EL16" s="26"/>
      <c r="EM16" s="26"/>
      <c r="EN16" s="26"/>
      <c r="EO16" s="26"/>
      <c r="EP16" s="26"/>
      <c r="EQ16" s="26"/>
      <c r="ER16" s="26"/>
      <c r="ES16" s="26"/>
      <c r="ET16" s="26"/>
      <c r="EU16" s="26"/>
      <c r="EV16" s="408">
        <f t="shared" si="1"/>
        <v>0</v>
      </c>
      <c r="EW16" s="408">
        <f t="shared" si="2"/>
        <v>0</v>
      </c>
      <c r="EX16" s="408">
        <f t="shared" si="3"/>
        <v>0</v>
      </c>
    </row>
    <row r="17" spans="1:154">
      <c r="A17" s="102" t="s">
        <v>357</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404"/>
      <c r="AP17" s="404"/>
      <c r="AQ17" s="404"/>
      <c r="AR17" s="26"/>
      <c r="AS17" s="26"/>
      <c r="AT17" s="26"/>
      <c r="AU17" s="26"/>
      <c r="AV17" s="26"/>
      <c r="AW17" s="26"/>
      <c r="AX17" s="26"/>
      <c r="AY17" s="26"/>
      <c r="AZ17" s="26"/>
      <c r="BA17" s="26">
        <v>440</v>
      </c>
      <c r="BB17" s="26">
        <v>0</v>
      </c>
      <c r="BC17" s="26">
        <v>405</v>
      </c>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404"/>
      <c r="DP17" s="404"/>
      <c r="DQ17" s="404"/>
      <c r="DR17" s="26"/>
      <c r="DS17" s="26"/>
      <c r="DT17" s="26"/>
      <c r="DU17" s="26"/>
      <c r="DV17" s="26"/>
      <c r="DW17" s="26"/>
      <c r="DX17" s="26"/>
      <c r="DY17" s="26"/>
      <c r="DZ17" s="26"/>
      <c r="EA17" s="404"/>
      <c r="EB17" s="404"/>
      <c r="EC17" s="404"/>
      <c r="ED17" s="26"/>
      <c r="EE17" s="26"/>
      <c r="EF17" s="26"/>
      <c r="EG17" s="26"/>
      <c r="EH17" s="26"/>
      <c r="EI17" s="26"/>
      <c r="EJ17" s="26"/>
      <c r="EK17" s="26"/>
      <c r="EL17" s="26"/>
      <c r="EM17" s="26"/>
      <c r="EN17" s="26"/>
      <c r="EO17" s="26"/>
      <c r="EP17" s="26"/>
      <c r="EQ17" s="26"/>
      <c r="ER17" s="26"/>
      <c r="ES17" s="26"/>
      <c r="ET17" s="26"/>
      <c r="EU17" s="26"/>
      <c r="EV17" s="408">
        <f t="shared" si="1"/>
        <v>440</v>
      </c>
      <c r="EW17" s="408">
        <f t="shared" si="2"/>
        <v>0</v>
      </c>
      <c r="EX17" s="408">
        <f t="shared" si="3"/>
        <v>405</v>
      </c>
    </row>
    <row r="18" spans="1:154">
      <c r="A18" s="102" t="s">
        <v>358</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404"/>
      <c r="AP18" s="404"/>
      <c r="AQ18" s="404"/>
      <c r="AR18" s="26"/>
      <c r="AS18" s="26"/>
      <c r="AT18" s="26"/>
      <c r="AU18" s="26"/>
      <c r="AV18" s="26"/>
      <c r="AW18" s="26"/>
      <c r="AX18" s="26">
        <v>370.3</v>
      </c>
      <c r="AY18" s="26">
        <v>0</v>
      </c>
      <c r="AZ18" s="26">
        <v>0</v>
      </c>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404"/>
      <c r="DP18" s="404"/>
      <c r="DQ18" s="404"/>
      <c r="DR18" s="26"/>
      <c r="DS18" s="26"/>
      <c r="DT18" s="26"/>
      <c r="DU18" s="26"/>
      <c r="DV18" s="26"/>
      <c r="DW18" s="26"/>
      <c r="DX18" s="26"/>
      <c r="DY18" s="26"/>
      <c r="DZ18" s="26"/>
      <c r="EA18" s="404"/>
      <c r="EB18" s="404"/>
      <c r="EC18" s="404"/>
      <c r="ED18" s="26"/>
      <c r="EE18" s="26"/>
      <c r="EF18" s="26"/>
      <c r="EG18" s="26"/>
      <c r="EH18" s="26"/>
      <c r="EI18" s="26"/>
      <c r="EJ18" s="26"/>
      <c r="EK18" s="26"/>
      <c r="EL18" s="26"/>
      <c r="EM18" s="26"/>
      <c r="EN18" s="26"/>
      <c r="EO18" s="26"/>
      <c r="EP18" s="26"/>
      <c r="EQ18" s="26"/>
      <c r="ER18" s="26"/>
      <c r="ES18" s="26"/>
      <c r="ET18" s="26"/>
      <c r="EU18" s="26"/>
      <c r="EV18" s="408">
        <f t="shared" si="1"/>
        <v>370.3</v>
      </c>
      <c r="EW18" s="408">
        <f t="shared" si="2"/>
        <v>0</v>
      </c>
      <c r="EX18" s="408">
        <f t="shared" si="3"/>
        <v>0</v>
      </c>
    </row>
    <row r="19" spans="1:154">
      <c r="A19" s="102" t="s">
        <v>359</v>
      </c>
      <c r="B19" s="26"/>
      <c r="C19" s="26"/>
      <c r="D19" s="26"/>
      <c r="E19" s="26"/>
      <c r="F19" s="26"/>
      <c r="G19" s="26"/>
      <c r="H19" s="26"/>
      <c r="I19" s="26"/>
      <c r="J19" s="26"/>
      <c r="K19" s="26">
        <f>10200+4500</f>
        <v>14700</v>
      </c>
      <c r="L19" s="26">
        <f>10200+0</f>
        <v>10200</v>
      </c>
      <c r="M19" s="26">
        <f>10200+0</f>
        <v>10200</v>
      </c>
      <c r="N19" s="26">
        <f>10000+7700</f>
        <v>17700</v>
      </c>
      <c r="O19" s="26">
        <v>0</v>
      </c>
      <c r="P19" s="26">
        <v>0</v>
      </c>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404"/>
      <c r="AP19" s="404"/>
      <c r="AQ19" s="404"/>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404"/>
      <c r="DP19" s="404"/>
      <c r="DQ19" s="404"/>
      <c r="DR19" s="26"/>
      <c r="DS19" s="26"/>
      <c r="DT19" s="26"/>
      <c r="DU19" s="26"/>
      <c r="DV19" s="26"/>
      <c r="DW19" s="26"/>
      <c r="DX19" s="26"/>
      <c r="DY19" s="26"/>
      <c r="DZ19" s="26"/>
      <c r="EA19" s="404"/>
      <c r="EB19" s="404"/>
      <c r="EC19" s="404"/>
      <c r="ED19" s="26"/>
      <c r="EE19" s="26"/>
      <c r="EF19" s="26"/>
      <c r="EG19" s="26"/>
      <c r="EH19" s="26"/>
      <c r="EI19" s="26"/>
      <c r="EJ19" s="26"/>
      <c r="EK19" s="26"/>
      <c r="EL19" s="26"/>
      <c r="EM19" s="26"/>
      <c r="EN19" s="26"/>
      <c r="EO19" s="26"/>
      <c r="EP19" s="26"/>
      <c r="EQ19" s="26"/>
      <c r="ER19" s="26"/>
      <c r="ES19" s="26"/>
      <c r="ET19" s="26"/>
      <c r="EU19" s="26"/>
      <c r="EV19" s="408">
        <f t="shared" si="1"/>
        <v>32400</v>
      </c>
      <c r="EW19" s="408">
        <f t="shared" si="2"/>
        <v>10200</v>
      </c>
      <c r="EX19" s="408">
        <f t="shared" si="3"/>
        <v>10200</v>
      </c>
    </row>
    <row r="20" spans="1:154">
      <c r="A20" s="102" t="s">
        <v>360</v>
      </c>
      <c r="B20" s="26"/>
      <c r="C20" s="26"/>
      <c r="D20" s="26"/>
      <c r="E20" s="26"/>
      <c r="F20" s="26"/>
      <c r="G20" s="26"/>
      <c r="H20" s="26">
        <v>48372.7</v>
      </c>
      <c r="I20" s="26">
        <v>2785</v>
      </c>
      <c r="J20" s="26">
        <v>2947</v>
      </c>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404"/>
      <c r="AP20" s="404"/>
      <c r="AQ20" s="404"/>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404"/>
      <c r="DP20" s="404"/>
      <c r="DQ20" s="404"/>
      <c r="DR20" s="26"/>
      <c r="DS20" s="26"/>
      <c r="DT20" s="26"/>
      <c r="DU20" s="26"/>
      <c r="DV20" s="26"/>
      <c r="DW20" s="26"/>
      <c r="DX20" s="26"/>
      <c r="DY20" s="26"/>
      <c r="DZ20" s="26"/>
      <c r="EA20" s="404"/>
      <c r="EB20" s="404"/>
      <c r="EC20" s="404"/>
      <c r="ED20" s="26"/>
      <c r="EE20" s="26"/>
      <c r="EF20" s="26"/>
      <c r="EG20" s="26"/>
      <c r="EH20" s="26"/>
      <c r="EI20" s="26"/>
      <c r="EJ20" s="26"/>
      <c r="EK20" s="26"/>
      <c r="EL20" s="26"/>
      <c r="EM20" s="26"/>
      <c r="EN20" s="26"/>
      <c r="EO20" s="26"/>
      <c r="EP20" s="26"/>
      <c r="EQ20" s="26"/>
      <c r="ER20" s="26"/>
      <c r="ES20" s="26"/>
      <c r="ET20" s="26"/>
      <c r="EU20" s="26"/>
      <c r="EV20" s="408">
        <f t="shared" si="1"/>
        <v>48372.7</v>
      </c>
      <c r="EW20" s="408">
        <f t="shared" si="2"/>
        <v>2785</v>
      </c>
      <c r="EX20" s="408">
        <f t="shared" si="3"/>
        <v>2947</v>
      </c>
    </row>
    <row r="21" spans="1:154">
      <c r="A21" s="102" t="s">
        <v>635</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404"/>
      <c r="AP21" s="404"/>
      <c r="AQ21" s="404"/>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404"/>
      <c r="DP21" s="404"/>
      <c r="DQ21" s="404"/>
      <c r="DR21" s="26"/>
      <c r="DS21" s="26"/>
      <c r="DT21" s="26"/>
      <c r="DU21" s="26"/>
      <c r="DV21" s="26"/>
      <c r="DW21" s="26"/>
      <c r="DX21" s="26"/>
      <c r="DY21" s="26"/>
      <c r="DZ21" s="26"/>
      <c r="EA21" s="404"/>
      <c r="EB21" s="404"/>
      <c r="EC21" s="404"/>
      <c r="ED21" s="26"/>
      <c r="EE21" s="26"/>
      <c r="EF21" s="26"/>
      <c r="EG21" s="26"/>
      <c r="EH21" s="26"/>
      <c r="EI21" s="26"/>
      <c r="EJ21" s="26"/>
      <c r="EK21" s="26"/>
      <c r="EL21" s="26"/>
      <c r="EM21" s="26"/>
      <c r="EN21" s="26"/>
      <c r="EO21" s="26"/>
      <c r="EP21" s="26"/>
      <c r="EQ21" s="26"/>
      <c r="ER21" s="26"/>
      <c r="ES21" s="26"/>
      <c r="ET21" s="26"/>
      <c r="EU21" s="26"/>
      <c r="EV21" s="408">
        <f t="shared" si="1"/>
        <v>0</v>
      </c>
      <c r="EW21" s="408">
        <f t="shared" si="2"/>
        <v>0</v>
      </c>
      <c r="EX21" s="408">
        <f t="shared" si="3"/>
        <v>0</v>
      </c>
    </row>
    <row r="22" spans="1:154">
      <c r="A22" s="102" t="s">
        <v>362</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404">
        <v>4200</v>
      </c>
      <c r="AP22" s="404">
        <v>0</v>
      </c>
      <c r="AQ22" s="404">
        <v>0</v>
      </c>
      <c r="AR22" s="26"/>
      <c r="AS22" s="26"/>
      <c r="AT22" s="26"/>
      <c r="AU22" s="26"/>
      <c r="AV22" s="26"/>
      <c r="AW22" s="26"/>
      <c r="AX22" s="26"/>
      <c r="AY22" s="26"/>
      <c r="AZ22" s="26"/>
      <c r="BA22" s="26"/>
      <c r="BB22" s="26"/>
      <c r="BC22" s="26"/>
      <c r="BD22" s="26">
        <v>700</v>
      </c>
      <c r="BE22" s="26">
        <v>100</v>
      </c>
      <c r="BF22" s="26">
        <v>100</v>
      </c>
      <c r="BG22" s="26"/>
      <c r="BH22" s="26"/>
      <c r="BI22" s="26"/>
      <c r="BJ22" s="26"/>
      <c r="BK22" s="26"/>
      <c r="BL22" s="26"/>
      <c r="BM22" s="26"/>
      <c r="BN22" s="26"/>
      <c r="BO22" s="26"/>
      <c r="BP22" s="26"/>
      <c r="BQ22" s="26"/>
      <c r="BR22" s="26"/>
      <c r="BS22" s="26">
        <v>18.7</v>
      </c>
      <c r="BT22" s="26">
        <v>0</v>
      </c>
      <c r="BU22" s="26">
        <v>0</v>
      </c>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404"/>
      <c r="DP22" s="404"/>
      <c r="DQ22" s="404"/>
      <c r="DR22" s="26"/>
      <c r="DS22" s="26"/>
      <c r="DT22" s="26"/>
      <c r="DU22" s="26"/>
      <c r="DV22" s="26"/>
      <c r="DW22" s="26"/>
      <c r="DX22" s="26"/>
      <c r="DY22" s="26"/>
      <c r="DZ22" s="26"/>
      <c r="EA22" s="404"/>
      <c r="EB22" s="404"/>
      <c r="EC22" s="404"/>
      <c r="ED22" s="26"/>
      <c r="EE22" s="26"/>
      <c r="EF22" s="26"/>
      <c r="EG22" s="26">
        <v>112</v>
      </c>
      <c r="EH22" s="26">
        <v>0</v>
      </c>
      <c r="EI22" s="26">
        <v>128</v>
      </c>
      <c r="EJ22" s="26"/>
      <c r="EK22" s="26"/>
      <c r="EL22" s="26"/>
      <c r="EM22" s="26"/>
      <c r="EN22" s="26"/>
      <c r="EO22" s="26"/>
      <c r="EP22" s="26"/>
      <c r="EQ22" s="26"/>
      <c r="ER22" s="26"/>
      <c r="ES22" s="26"/>
      <c r="ET22" s="26"/>
      <c r="EU22" s="26"/>
      <c r="EV22" s="408">
        <f t="shared" si="1"/>
        <v>5030.7</v>
      </c>
      <c r="EW22" s="408">
        <f t="shared" si="2"/>
        <v>100</v>
      </c>
      <c r="EX22" s="408">
        <f t="shared" si="3"/>
        <v>228</v>
      </c>
    </row>
    <row r="23" spans="1:154">
      <c r="A23" s="102" t="s">
        <v>377</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404"/>
      <c r="AP23" s="404"/>
      <c r="AQ23" s="404"/>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404"/>
      <c r="DP23" s="404"/>
      <c r="DQ23" s="404"/>
      <c r="DR23" s="26"/>
      <c r="DS23" s="26"/>
      <c r="DT23" s="26"/>
      <c r="DU23" s="26"/>
      <c r="DV23" s="26"/>
      <c r="DW23" s="26"/>
      <c r="DX23" s="26"/>
      <c r="DY23" s="26"/>
      <c r="DZ23" s="26"/>
      <c r="EA23" s="404"/>
      <c r="EB23" s="404"/>
      <c r="EC23" s="404"/>
      <c r="ED23" s="26"/>
      <c r="EE23" s="26"/>
      <c r="EF23" s="26"/>
      <c r="EG23" s="26"/>
      <c r="EH23" s="26"/>
      <c r="EI23" s="26"/>
      <c r="EJ23" s="26"/>
      <c r="EK23" s="26"/>
      <c r="EL23" s="26"/>
      <c r="EM23" s="26"/>
      <c r="EN23" s="26"/>
      <c r="EO23" s="26"/>
      <c r="EP23" s="26"/>
      <c r="EQ23" s="26"/>
      <c r="ER23" s="26"/>
      <c r="ES23" s="26"/>
      <c r="ET23" s="26"/>
      <c r="EU23" s="26"/>
      <c r="EV23" s="408">
        <f t="shared" si="1"/>
        <v>0</v>
      </c>
      <c r="EW23" s="408">
        <f t="shared" si="2"/>
        <v>0</v>
      </c>
      <c r="EX23" s="408">
        <f t="shared" si="3"/>
        <v>0</v>
      </c>
    </row>
    <row r="24" spans="1:154">
      <c r="A24" s="102" t="s">
        <v>363</v>
      </c>
      <c r="B24" s="26"/>
      <c r="C24" s="26"/>
      <c r="D24" s="26"/>
      <c r="E24" s="26">
        <v>27408.931</v>
      </c>
      <c r="F24" s="26">
        <v>26122.400000000001</v>
      </c>
      <c r="G24" s="26">
        <v>26122.400000000001</v>
      </c>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404"/>
      <c r="AP24" s="404"/>
      <c r="AQ24" s="404"/>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404"/>
      <c r="DP24" s="404"/>
      <c r="DQ24" s="404"/>
      <c r="DR24" s="26"/>
      <c r="DS24" s="26"/>
      <c r="DT24" s="26"/>
      <c r="DU24" s="26"/>
      <c r="DV24" s="26"/>
      <c r="DW24" s="26"/>
      <c r="DX24" s="26"/>
      <c r="DY24" s="26"/>
      <c r="DZ24" s="26"/>
      <c r="EA24" s="404"/>
      <c r="EB24" s="404"/>
      <c r="EC24" s="404"/>
      <c r="ED24" s="26"/>
      <c r="EE24" s="26"/>
      <c r="EF24" s="26"/>
      <c r="EG24" s="26"/>
      <c r="EH24" s="26"/>
      <c r="EI24" s="26"/>
      <c r="EJ24" s="26"/>
      <c r="EK24" s="26"/>
      <c r="EL24" s="26"/>
      <c r="EM24" s="26"/>
      <c r="EN24" s="26"/>
      <c r="EO24" s="26"/>
      <c r="EP24" s="26"/>
      <c r="EQ24" s="26"/>
      <c r="ER24" s="26"/>
      <c r="ES24" s="26"/>
      <c r="ET24" s="26"/>
      <c r="EU24" s="26"/>
      <c r="EV24" s="408">
        <f t="shared" si="1"/>
        <v>27408.931</v>
      </c>
      <c r="EW24" s="408">
        <f t="shared" si="2"/>
        <v>26122.400000000001</v>
      </c>
      <c r="EX24" s="408">
        <f t="shared" si="3"/>
        <v>26122.400000000001</v>
      </c>
    </row>
    <row r="25" spans="1:154">
      <c r="A25" s="102" t="s">
        <v>364</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f>16548.8+3044.9+5921.4</f>
        <v>25515.1</v>
      </c>
      <c r="AM25" s="26">
        <f>3083.5</f>
        <v>3083.5</v>
      </c>
      <c r="AN25" s="26">
        <v>3083.5</v>
      </c>
      <c r="AO25" s="404"/>
      <c r="AP25" s="404"/>
      <c r="AQ25" s="404"/>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f>155.8+25.2</f>
        <v>181</v>
      </c>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404"/>
      <c r="DP25" s="404"/>
      <c r="DQ25" s="404"/>
      <c r="DR25" s="26"/>
      <c r="DS25" s="26"/>
      <c r="DT25" s="26"/>
      <c r="DU25" s="26"/>
      <c r="DV25" s="26"/>
      <c r="DW25" s="26"/>
      <c r="DX25" s="26"/>
      <c r="DY25" s="26"/>
      <c r="DZ25" s="26"/>
      <c r="EA25" s="404"/>
      <c r="EB25" s="404"/>
      <c r="EC25" s="404"/>
      <c r="ED25" s="26"/>
      <c r="EE25" s="26"/>
      <c r="EF25" s="26"/>
      <c r="EG25" s="26"/>
      <c r="EH25" s="26"/>
      <c r="EI25" s="26"/>
      <c r="EJ25" s="26"/>
      <c r="EK25" s="26"/>
      <c r="EL25" s="26"/>
      <c r="EM25" s="26"/>
      <c r="EN25" s="26"/>
      <c r="EO25" s="26"/>
      <c r="EP25" s="26"/>
      <c r="EQ25" s="26"/>
      <c r="ER25" s="26"/>
      <c r="ES25" s="26"/>
      <c r="ET25" s="26"/>
      <c r="EU25" s="26"/>
      <c r="EV25" s="408">
        <f t="shared" si="1"/>
        <v>25696.1</v>
      </c>
      <c r="EW25" s="408">
        <f t="shared" si="2"/>
        <v>3083.5</v>
      </c>
      <c r="EX25" s="408">
        <f t="shared" si="3"/>
        <v>3083.5</v>
      </c>
    </row>
    <row r="26" spans="1:154">
      <c r="A26" s="102" t="s">
        <v>449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404"/>
      <c r="AP26" s="404"/>
      <c r="AQ26" s="404"/>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404">
        <v>10</v>
      </c>
      <c r="DP26" s="404">
        <v>10</v>
      </c>
      <c r="DQ26" s="404">
        <v>10</v>
      </c>
      <c r="DR26" s="26"/>
      <c r="DS26" s="26"/>
      <c r="DT26" s="26"/>
      <c r="DU26" s="26"/>
      <c r="DV26" s="26"/>
      <c r="DW26" s="26"/>
      <c r="DX26" s="26"/>
      <c r="DY26" s="26"/>
      <c r="DZ26" s="26"/>
      <c r="EA26" s="404"/>
      <c r="EB26" s="404"/>
      <c r="EC26" s="404"/>
      <c r="ED26" s="26"/>
      <c r="EE26" s="26"/>
      <c r="EF26" s="26"/>
      <c r="EG26" s="26"/>
      <c r="EH26" s="26"/>
      <c r="EI26" s="26"/>
      <c r="EJ26" s="26"/>
      <c r="EK26" s="26"/>
      <c r="EL26" s="26"/>
      <c r="EM26" s="26"/>
      <c r="EN26" s="26"/>
      <c r="EO26" s="26"/>
      <c r="EP26" s="26"/>
      <c r="EQ26" s="26"/>
      <c r="ER26" s="26"/>
      <c r="ES26" s="26"/>
      <c r="ET26" s="26"/>
      <c r="EU26" s="26"/>
      <c r="EV26" s="408">
        <f t="shared" si="1"/>
        <v>10</v>
      </c>
      <c r="EW26" s="408">
        <f t="shared" si="2"/>
        <v>10</v>
      </c>
      <c r="EX26" s="408">
        <f t="shared" si="3"/>
        <v>10</v>
      </c>
    </row>
    <row r="27" spans="1:154">
      <c r="A27" s="102" t="s">
        <v>365</v>
      </c>
      <c r="B27" s="26"/>
      <c r="C27" s="26"/>
      <c r="D27" s="26"/>
      <c r="E27" s="26"/>
      <c r="F27" s="26"/>
      <c r="G27" s="26"/>
      <c r="H27" s="26"/>
      <c r="I27" s="26"/>
      <c r="J27" s="26"/>
      <c r="K27" s="26"/>
      <c r="L27" s="26"/>
      <c r="M27" s="26"/>
      <c r="N27" s="26"/>
      <c r="O27" s="26"/>
      <c r="P27" s="26"/>
      <c r="Q27" s="26"/>
      <c r="R27" s="26"/>
      <c r="S27" s="26"/>
      <c r="T27" s="26">
        <f>104836.408-1375.2</f>
        <v>103461.208</v>
      </c>
      <c r="U27" s="26">
        <f>97849-1375.2</f>
        <v>96473.8</v>
      </c>
      <c r="V27" s="26">
        <f>98292.4-1375.2</f>
        <v>96917.2</v>
      </c>
      <c r="W27" s="26"/>
      <c r="X27" s="26"/>
      <c r="Y27" s="26"/>
      <c r="Z27" s="26"/>
      <c r="AA27" s="26"/>
      <c r="AB27" s="26"/>
      <c r="AC27" s="26"/>
      <c r="AD27" s="26"/>
      <c r="AE27" s="26"/>
      <c r="AF27" s="26"/>
      <c r="AG27" s="26"/>
      <c r="AH27" s="26"/>
      <c r="AI27" s="26"/>
      <c r="AJ27" s="26"/>
      <c r="AK27" s="26"/>
      <c r="AL27" s="26"/>
      <c r="AM27" s="26"/>
      <c r="AN27" s="26"/>
      <c r="AO27" s="404"/>
      <c r="AP27" s="404"/>
      <c r="AQ27" s="404"/>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404"/>
      <c r="DP27" s="404"/>
      <c r="DQ27" s="404"/>
      <c r="DR27" s="26">
        <v>1375.2</v>
      </c>
      <c r="DS27" s="26">
        <v>1375.2</v>
      </c>
      <c r="DT27" s="26">
        <v>1375.2</v>
      </c>
      <c r="DU27" s="26"/>
      <c r="DV27" s="26"/>
      <c r="DW27" s="26"/>
      <c r="DX27" s="26"/>
      <c r="DY27" s="26"/>
      <c r="DZ27" s="26"/>
      <c r="EA27" s="404"/>
      <c r="EB27" s="404"/>
      <c r="EC27" s="404"/>
      <c r="ED27" s="26"/>
      <c r="EE27" s="26"/>
      <c r="EF27" s="26"/>
      <c r="EG27" s="26"/>
      <c r="EH27" s="26"/>
      <c r="EI27" s="26"/>
      <c r="EJ27" s="26"/>
      <c r="EK27" s="26"/>
      <c r="EL27" s="26"/>
      <c r="EM27" s="26"/>
      <c r="EN27" s="26"/>
      <c r="EO27" s="26"/>
      <c r="EP27" s="26"/>
      <c r="EQ27" s="26"/>
      <c r="ER27" s="26"/>
      <c r="ES27" s="26"/>
      <c r="ET27" s="26"/>
      <c r="EU27" s="26"/>
      <c r="EV27" s="408">
        <f t="shared" si="1"/>
        <v>104836.408</v>
      </c>
      <c r="EW27" s="408">
        <f t="shared" si="2"/>
        <v>97849</v>
      </c>
      <c r="EX27" s="408">
        <f t="shared" si="3"/>
        <v>98292.4</v>
      </c>
    </row>
    <row r="28" spans="1:154">
      <c r="A28" s="102" t="s">
        <v>366</v>
      </c>
      <c r="B28" s="26"/>
      <c r="C28" s="26"/>
      <c r="D28" s="26"/>
      <c r="E28" s="26"/>
      <c r="F28" s="26"/>
      <c r="G28" s="26"/>
      <c r="H28" s="26"/>
      <c r="I28" s="26"/>
      <c r="J28" s="26"/>
      <c r="K28" s="26"/>
      <c r="L28" s="26"/>
      <c r="M28" s="26"/>
      <c r="N28" s="26"/>
      <c r="O28" s="26"/>
      <c r="P28" s="26"/>
      <c r="Q28" s="26"/>
      <c r="R28" s="26"/>
      <c r="S28" s="26"/>
      <c r="T28" s="26">
        <v>15522.3</v>
      </c>
      <c r="U28" s="26">
        <v>15185.3</v>
      </c>
      <c r="V28" s="26">
        <v>15316.7</v>
      </c>
      <c r="W28" s="26">
        <v>200493.837</v>
      </c>
      <c r="X28" s="26">
        <v>69971.763999999996</v>
      </c>
      <c r="Y28" s="26">
        <v>76875.471000000005</v>
      </c>
      <c r="Z28" s="26">
        <v>204592.24400000001</v>
      </c>
      <c r="AA28" s="26">
        <v>81646.176999999996</v>
      </c>
      <c r="AB28" s="26">
        <v>81104.100000000006</v>
      </c>
      <c r="AC28" s="26"/>
      <c r="AD28" s="26"/>
      <c r="AE28" s="26"/>
      <c r="AF28" s="26"/>
      <c r="AG28" s="26"/>
      <c r="AH28" s="26"/>
      <c r="AI28" s="26"/>
      <c r="AJ28" s="26"/>
      <c r="AK28" s="26"/>
      <c r="AL28" s="26"/>
      <c r="AM28" s="26"/>
      <c r="AN28" s="26"/>
      <c r="AO28" s="404"/>
      <c r="AP28" s="404"/>
      <c r="AQ28" s="404"/>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404"/>
      <c r="DP28" s="404"/>
      <c r="DQ28" s="404"/>
      <c r="DR28" s="26">
        <v>3449.7</v>
      </c>
      <c r="DS28" s="26">
        <v>3449.7</v>
      </c>
      <c r="DT28" s="26">
        <v>3449.7</v>
      </c>
      <c r="DU28" s="26">
        <v>23788</v>
      </c>
      <c r="DV28" s="26">
        <v>22565</v>
      </c>
      <c r="DW28" s="26">
        <v>22881</v>
      </c>
      <c r="DX28" s="26"/>
      <c r="DY28" s="26"/>
      <c r="DZ28" s="26"/>
      <c r="EA28" s="404"/>
      <c r="EB28" s="404"/>
      <c r="EC28" s="404"/>
      <c r="ED28" s="26"/>
      <c r="EE28" s="26"/>
      <c r="EF28" s="26"/>
      <c r="EG28" s="26"/>
      <c r="EH28" s="26"/>
      <c r="EI28" s="26"/>
      <c r="EJ28" s="26"/>
      <c r="EK28" s="26"/>
      <c r="EL28" s="26"/>
      <c r="EM28" s="26"/>
      <c r="EN28" s="26"/>
      <c r="EO28" s="26"/>
      <c r="EP28" s="26"/>
      <c r="EQ28" s="26"/>
      <c r="ER28" s="26"/>
      <c r="ES28" s="26"/>
      <c r="ET28" s="26"/>
      <c r="EU28" s="26"/>
      <c r="EV28" s="408">
        <f t="shared" si="1"/>
        <v>447846.08100000001</v>
      </c>
      <c r="EW28" s="408">
        <f t="shared" si="2"/>
        <v>192817.94099999999</v>
      </c>
      <c r="EX28" s="408">
        <f t="shared" si="3"/>
        <v>199626.97100000002</v>
      </c>
    </row>
    <row r="29" spans="1:154">
      <c r="A29" s="102" t="s">
        <v>409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f>96494.9-589.8-661.8</f>
        <v>95243.299999999988</v>
      </c>
      <c r="AD29" s="26">
        <f>50133.4-589.8-661.8</f>
        <v>48881.799999999996</v>
      </c>
      <c r="AE29" s="26">
        <f>50494-589.8-661.8</f>
        <v>49242.399999999994</v>
      </c>
      <c r="AF29" s="26"/>
      <c r="AG29" s="26"/>
      <c r="AH29" s="26"/>
      <c r="AI29" s="26">
        <v>589.79999999999995</v>
      </c>
      <c r="AJ29" s="26">
        <v>589.79999999999995</v>
      </c>
      <c r="AK29" s="26">
        <v>589.79999999999995</v>
      </c>
      <c r="AL29" s="26"/>
      <c r="AM29" s="26"/>
      <c r="AN29" s="26"/>
      <c r="AO29" s="404"/>
      <c r="AP29" s="404"/>
      <c r="AQ29" s="404"/>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404"/>
      <c r="DP29" s="404"/>
      <c r="DQ29" s="404"/>
      <c r="DR29" s="26">
        <v>661.8</v>
      </c>
      <c r="DS29" s="26">
        <v>661.8</v>
      </c>
      <c r="DT29" s="26">
        <v>661.8</v>
      </c>
      <c r="DU29" s="26"/>
      <c r="DV29" s="26"/>
      <c r="DW29" s="26"/>
      <c r="DX29" s="26"/>
      <c r="DY29" s="26"/>
      <c r="DZ29" s="26"/>
      <c r="EA29" s="404"/>
      <c r="EB29" s="404"/>
      <c r="EC29" s="404"/>
      <c r="ED29" s="26"/>
      <c r="EE29" s="26"/>
      <c r="EF29" s="26"/>
      <c r="EG29" s="26"/>
      <c r="EH29" s="26"/>
      <c r="EI29" s="26"/>
      <c r="EJ29" s="26"/>
      <c r="EK29" s="26"/>
      <c r="EL29" s="26"/>
      <c r="EM29" s="26"/>
      <c r="EN29" s="26"/>
      <c r="EO29" s="26"/>
      <c r="EP29" s="26"/>
      <c r="EQ29" s="26"/>
      <c r="ER29" s="26"/>
      <c r="ES29" s="26"/>
      <c r="ET29" s="26"/>
      <c r="EU29" s="26"/>
      <c r="EV29" s="408">
        <f t="shared" si="1"/>
        <v>96494.9</v>
      </c>
      <c r="EW29" s="408">
        <f t="shared" si="2"/>
        <v>50133.4</v>
      </c>
      <c r="EX29" s="408">
        <f t="shared" si="3"/>
        <v>50494</v>
      </c>
    </row>
    <row r="30" spans="1:154">
      <c r="A30" s="102" t="s">
        <v>751</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404"/>
      <c r="AP30" s="404"/>
      <c r="AQ30" s="404"/>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v>335.1</v>
      </c>
      <c r="DM30" s="26">
        <v>226.1</v>
      </c>
      <c r="DN30" s="26">
        <v>135.19999999999999</v>
      </c>
      <c r="DO30" s="404"/>
      <c r="DP30" s="404"/>
      <c r="DQ30" s="404"/>
      <c r="DR30" s="26"/>
      <c r="DS30" s="26"/>
      <c r="DT30" s="26"/>
      <c r="DU30" s="26"/>
      <c r="DV30" s="26"/>
      <c r="DW30" s="26"/>
      <c r="DX30" s="26"/>
      <c r="DY30" s="26"/>
      <c r="DZ30" s="26"/>
      <c r="EA30" s="404"/>
      <c r="EB30" s="404"/>
      <c r="EC30" s="404"/>
      <c r="ED30" s="26"/>
      <c r="EE30" s="26"/>
      <c r="EF30" s="26"/>
      <c r="EG30" s="26"/>
      <c r="EH30" s="26"/>
      <c r="EI30" s="26"/>
      <c r="EJ30" s="26"/>
      <c r="EK30" s="26"/>
      <c r="EL30" s="26"/>
      <c r="EM30" s="26"/>
      <c r="EN30" s="26"/>
      <c r="EO30" s="26"/>
      <c r="EP30" s="26"/>
      <c r="EQ30" s="26"/>
      <c r="ER30" s="26"/>
      <c r="ES30" s="26"/>
      <c r="ET30" s="26"/>
      <c r="EU30" s="26"/>
      <c r="EV30" s="408">
        <f t="shared" si="1"/>
        <v>335.1</v>
      </c>
      <c r="EW30" s="408">
        <f t="shared" si="2"/>
        <v>226.1</v>
      </c>
      <c r="EX30" s="408">
        <f t="shared" si="3"/>
        <v>135.19999999999999</v>
      </c>
    </row>
    <row r="31" spans="1:154">
      <c r="A31" s="102" t="s">
        <v>367</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404"/>
      <c r="AP31" s="404"/>
      <c r="AQ31" s="404"/>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v>300</v>
      </c>
      <c r="BQ31" s="26">
        <v>0</v>
      </c>
      <c r="BR31" s="26">
        <v>0</v>
      </c>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404"/>
      <c r="DP31" s="404"/>
      <c r="DQ31" s="404"/>
      <c r="DR31" s="26"/>
      <c r="DS31" s="26"/>
      <c r="DT31" s="26"/>
      <c r="DU31" s="26"/>
      <c r="DV31" s="26"/>
      <c r="DW31" s="26"/>
      <c r="DX31" s="26"/>
      <c r="DY31" s="26"/>
      <c r="DZ31" s="26"/>
      <c r="EA31" s="404"/>
      <c r="EB31" s="404"/>
      <c r="EC31" s="404"/>
      <c r="ED31" s="26"/>
      <c r="EE31" s="26"/>
      <c r="EF31" s="26"/>
      <c r="EG31" s="26"/>
      <c r="EH31" s="26"/>
      <c r="EI31" s="26"/>
      <c r="EJ31" s="26"/>
      <c r="EK31" s="26"/>
      <c r="EL31" s="26"/>
      <c r="EM31" s="26"/>
      <c r="EN31" s="26"/>
      <c r="EO31" s="26"/>
      <c r="EP31" s="26"/>
      <c r="EQ31" s="26"/>
      <c r="ER31" s="26"/>
      <c r="ES31" s="26"/>
      <c r="ET31" s="26"/>
      <c r="EU31" s="26"/>
      <c r="EV31" s="408">
        <f t="shared" si="1"/>
        <v>300</v>
      </c>
      <c r="EW31" s="408">
        <f t="shared" si="2"/>
        <v>0</v>
      </c>
      <c r="EX31" s="408">
        <f t="shared" si="3"/>
        <v>0</v>
      </c>
    </row>
    <row r="32" spans="1:154">
      <c r="A32" s="102" t="s">
        <v>368</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f>3804+5266.1</f>
        <v>9070.1</v>
      </c>
      <c r="AG32" s="26">
        <f>3804+5266.1</f>
        <v>9070.1</v>
      </c>
      <c r="AH32" s="26">
        <f>3804+5266.1</f>
        <v>9070.1</v>
      </c>
      <c r="AI32" s="26">
        <v>319.39999999999998</v>
      </c>
      <c r="AJ32" s="26">
        <v>319.39999999999998</v>
      </c>
      <c r="AK32" s="26">
        <v>319.39999999999998</v>
      </c>
      <c r="AL32" s="26"/>
      <c r="AM32" s="26"/>
      <c r="AN32" s="26"/>
      <c r="AO32" s="404"/>
      <c r="AP32" s="404"/>
      <c r="AQ32" s="404"/>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v>7000.9</v>
      </c>
      <c r="CU32" s="26">
        <v>6311.1</v>
      </c>
      <c r="CV32" s="26">
        <v>6123.6</v>
      </c>
      <c r="CW32" s="26">
        <v>15410</v>
      </c>
      <c r="CX32" s="26">
        <v>15422.7</v>
      </c>
      <c r="CY32" s="26">
        <v>15422.7</v>
      </c>
      <c r="CZ32" s="26"/>
      <c r="DA32" s="26"/>
      <c r="DB32" s="26"/>
      <c r="DC32" s="26"/>
      <c r="DD32" s="26"/>
      <c r="DE32" s="26"/>
      <c r="DF32" s="26"/>
      <c r="DG32" s="26"/>
      <c r="DH32" s="26"/>
      <c r="DI32" s="26"/>
      <c r="DJ32" s="26"/>
      <c r="DK32" s="26"/>
      <c r="DL32" s="26"/>
      <c r="DM32" s="26"/>
      <c r="DN32" s="26"/>
      <c r="DO32" s="404"/>
      <c r="DP32" s="404"/>
      <c r="DQ32" s="404"/>
      <c r="DR32" s="26">
        <v>200</v>
      </c>
      <c r="DS32" s="26">
        <v>0</v>
      </c>
      <c r="DT32" s="26">
        <v>0</v>
      </c>
      <c r="DU32" s="26"/>
      <c r="DV32" s="26"/>
      <c r="DW32" s="26"/>
      <c r="DX32" s="26"/>
      <c r="DY32" s="26"/>
      <c r="DZ32" s="26"/>
      <c r="EA32" s="404"/>
      <c r="EB32" s="404"/>
      <c r="EC32" s="404"/>
      <c r="ED32" s="26"/>
      <c r="EE32" s="26"/>
      <c r="EF32" s="26"/>
      <c r="EG32" s="26"/>
      <c r="EH32" s="26"/>
      <c r="EI32" s="26"/>
      <c r="EJ32" s="26"/>
      <c r="EK32" s="26"/>
      <c r="EL32" s="26"/>
      <c r="EM32" s="26"/>
      <c r="EN32" s="26"/>
      <c r="EO32" s="26"/>
      <c r="EP32" s="26"/>
      <c r="EQ32" s="26"/>
      <c r="ER32" s="26"/>
      <c r="ES32" s="26"/>
      <c r="ET32" s="26"/>
      <c r="EU32" s="26"/>
      <c r="EV32" s="408">
        <f t="shared" si="1"/>
        <v>32000.400000000001</v>
      </c>
      <c r="EW32" s="408">
        <f t="shared" si="2"/>
        <v>31123.300000000003</v>
      </c>
      <c r="EX32" s="408">
        <f t="shared" si="3"/>
        <v>30935.800000000003</v>
      </c>
    </row>
    <row r="33" spans="1:154" s="103" customFormat="1">
      <c r="A33" s="102" t="s">
        <v>369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404"/>
      <c r="AP33" s="404"/>
      <c r="AQ33" s="404"/>
      <c r="AR33" s="26">
        <v>1852.2</v>
      </c>
      <c r="AS33" s="26">
        <v>0</v>
      </c>
      <c r="AT33" s="26">
        <v>0</v>
      </c>
      <c r="AU33" s="26">
        <v>64897.55</v>
      </c>
      <c r="AV33" s="26">
        <v>6506.5</v>
      </c>
      <c r="AW33" s="26">
        <v>2190.6999999999998</v>
      </c>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v>50789.43</v>
      </c>
      <c r="BZ33" s="26">
        <v>13374.6</v>
      </c>
      <c r="CA33" s="26">
        <v>9189.4</v>
      </c>
      <c r="CB33" s="26"/>
      <c r="CC33" s="26"/>
      <c r="CD33" s="26"/>
      <c r="CE33" s="26"/>
      <c r="CF33" s="26"/>
      <c r="CG33" s="26"/>
      <c r="CH33" s="26"/>
      <c r="CI33" s="26"/>
      <c r="CJ33" s="26"/>
      <c r="CK33" s="26">
        <v>16131.5</v>
      </c>
      <c r="CL33" s="26">
        <v>16131.5</v>
      </c>
      <c r="CM33" s="26">
        <v>0</v>
      </c>
      <c r="CN33" s="26">
        <v>52874</v>
      </c>
      <c r="CO33" s="26">
        <v>53134.400000000001</v>
      </c>
      <c r="CP33" s="26">
        <v>0</v>
      </c>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404"/>
      <c r="DP33" s="404"/>
      <c r="DQ33" s="404"/>
      <c r="DR33" s="26">
        <v>761.6</v>
      </c>
      <c r="DS33" s="26">
        <v>119.3</v>
      </c>
      <c r="DT33" s="26">
        <v>119.3</v>
      </c>
      <c r="DU33" s="26"/>
      <c r="DV33" s="26"/>
      <c r="DW33" s="26"/>
      <c r="DX33" s="26"/>
      <c r="DY33" s="26"/>
      <c r="DZ33" s="26"/>
      <c r="EA33" s="404"/>
      <c r="EB33" s="404"/>
      <c r="EC33" s="404"/>
      <c r="ED33" s="26"/>
      <c r="EE33" s="26"/>
      <c r="EF33" s="26"/>
      <c r="EG33" s="26"/>
      <c r="EH33" s="26"/>
      <c r="EI33" s="26"/>
      <c r="EJ33" s="26"/>
      <c r="EK33" s="26"/>
      <c r="EL33" s="26"/>
      <c r="EM33" s="26"/>
      <c r="EN33" s="26"/>
      <c r="EO33" s="26"/>
      <c r="EP33" s="26"/>
      <c r="EQ33" s="26"/>
      <c r="ER33" s="26"/>
      <c r="ES33" s="26"/>
      <c r="ET33" s="26"/>
      <c r="EU33" s="26"/>
      <c r="EV33" s="408">
        <f t="shared" si="1"/>
        <v>187306.28</v>
      </c>
      <c r="EW33" s="408">
        <f t="shared" si="2"/>
        <v>89266.3</v>
      </c>
      <c r="EX33" s="408">
        <f t="shared" si="3"/>
        <v>11499.399999999998</v>
      </c>
    </row>
    <row r="34" spans="1:154">
      <c r="A34" s="102" t="s">
        <v>370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404"/>
      <c r="AP34" s="404"/>
      <c r="AQ34" s="404"/>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v>3514.02</v>
      </c>
      <c r="CU34" s="26">
        <v>3148.4</v>
      </c>
      <c r="CV34" s="26">
        <v>2914.2</v>
      </c>
      <c r="CW34" s="26">
        <v>8050.28</v>
      </c>
      <c r="CX34" s="26">
        <v>8042.6</v>
      </c>
      <c r="CY34" s="26">
        <v>8042.6</v>
      </c>
      <c r="CZ34" s="26"/>
      <c r="DA34" s="26"/>
      <c r="DB34" s="26"/>
      <c r="DC34" s="26"/>
      <c r="DD34" s="26"/>
      <c r="DE34" s="26"/>
      <c r="DF34" s="26"/>
      <c r="DG34" s="26"/>
      <c r="DH34" s="26"/>
      <c r="DI34" s="26"/>
      <c r="DJ34" s="26"/>
      <c r="DK34" s="26"/>
      <c r="DL34" s="26"/>
      <c r="DM34" s="26"/>
      <c r="DN34" s="26"/>
      <c r="DO34" s="404"/>
      <c r="DP34" s="404"/>
      <c r="DQ34" s="404"/>
      <c r="DR34" s="26">
        <v>431.1</v>
      </c>
      <c r="DS34" s="26">
        <v>0</v>
      </c>
      <c r="DT34" s="26">
        <v>0</v>
      </c>
      <c r="DU34" s="26"/>
      <c r="DV34" s="26"/>
      <c r="DW34" s="26"/>
      <c r="DX34" s="26"/>
      <c r="DY34" s="26"/>
      <c r="DZ34" s="26"/>
      <c r="EA34" s="404"/>
      <c r="EB34" s="404"/>
      <c r="EC34" s="404"/>
      <c r="ED34" s="26"/>
      <c r="EE34" s="26"/>
      <c r="EF34" s="26"/>
      <c r="EG34" s="26"/>
      <c r="EH34" s="26"/>
      <c r="EI34" s="26"/>
      <c r="EJ34" s="26"/>
      <c r="EK34" s="26"/>
      <c r="EL34" s="26"/>
      <c r="EM34" s="26"/>
      <c r="EN34" s="26"/>
      <c r="EO34" s="26"/>
      <c r="EP34" s="26"/>
      <c r="EQ34" s="26"/>
      <c r="ER34" s="26"/>
      <c r="ES34" s="26"/>
      <c r="ET34" s="26"/>
      <c r="EU34" s="26"/>
      <c r="EV34" s="408">
        <f t="shared" si="1"/>
        <v>11995.4</v>
      </c>
      <c r="EW34" s="408">
        <f t="shared" si="2"/>
        <v>11191</v>
      </c>
      <c r="EX34" s="408">
        <f t="shared" si="3"/>
        <v>10956.8</v>
      </c>
    </row>
    <row r="35" spans="1:154">
      <c r="A35" s="102" t="s">
        <v>371</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404"/>
      <c r="AP35" s="404"/>
      <c r="AQ35" s="404"/>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v>100</v>
      </c>
      <c r="BW35" s="26">
        <v>100</v>
      </c>
      <c r="BX35" s="26">
        <v>100</v>
      </c>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404"/>
      <c r="DP35" s="404"/>
      <c r="DQ35" s="404"/>
      <c r="DR35" s="26"/>
      <c r="DS35" s="26"/>
      <c r="DT35" s="26"/>
      <c r="DU35" s="26"/>
      <c r="DV35" s="26"/>
      <c r="DW35" s="26"/>
      <c r="DX35" s="26"/>
      <c r="DY35" s="26"/>
      <c r="DZ35" s="26"/>
      <c r="EA35" s="404"/>
      <c r="EB35" s="404"/>
      <c r="EC35" s="404"/>
      <c r="ED35" s="26"/>
      <c r="EE35" s="26"/>
      <c r="EF35" s="26"/>
      <c r="EG35" s="26"/>
      <c r="EH35" s="26"/>
      <c r="EI35" s="26"/>
      <c r="EJ35" s="26">
        <f>3179-100</f>
        <v>3079</v>
      </c>
      <c r="EK35" s="26">
        <f>1680-100</f>
        <v>1580</v>
      </c>
      <c r="EL35" s="26">
        <f>1500-100</f>
        <v>1400</v>
      </c>
      <c r="EM35" s="26"/>
      <c r="EN35" s="26"/>
      <c r="EO35" s="26"/>
      <c r="EP35" s="26"/>
      <c r="EQ35" s="26"/>
      <c r="ER35" s="26"/>
      <c r="ES35" s="26"/>
      <c r="ET35" s="26"/>
      <c r="EU35" s="26"/>
      <c r="EV35" s="408">
        <f t="shared" si="1"/>
        <v>3179</v>
      </c>
      <c r="EW35" s="408">
        <f t="shared" si="2"/>
        <v>1680</v>
      </c>
      <c r="EX35" s="408">
        <f t="shared" si="3"/>
        <v>1500</v>
      </c>
    </row>
    <row r="36" spans="1:154">
      <c r="A36" s="102" t="s">
        <v>353</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404"/>
      <c r="AP36" s="404"/>
      <c r="AQ36" s="404"/>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v>1553.009</v>
      </c>
      <c r="BW36" s="26">
        <v>421.6</v>
      </c>
      <c r="BX36" s="26">
        <v>399.7</v>
      </c>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404"/>
      <c r="DP36" s="404"/>
      <c r="DQ36" s="404"/>
      <c r="DR36" s="26"/>
      <c r="DS36" s="26"/>
      <c r="DT36" s="26"/>
      <c r="DU36" s="26"/>
      <c r="DV36" s="26"/>
      <c r="DW36" s="26"/>
      <c r="DX36" s="26"/>
      <c r="DY36" s="26"/>
      <c r="DZ36" s="26"/>
      <c r="EA36" s="404"/>
      <c r="EB36" s="404"/>
      <c r="EC36" s="404"/>
      <c r="ED36" s="26"/>
      <c r="EE36" s="26"/>
      <c r="EF36" s="26"/>
      <c r="EG36" s="26"/>
      <c r="EH36" s="26"/>
      <c r="EI36" s="26"/>
      <c r="EJ36" s="26"/>
      <c r="EK36" s="26"/>
      <c r="EL36" s="26"/>
      <c r="EM36" s="26"/>
      <c r="EN36" s="26"/>
      <c r="EO36" s="26"/>
      <c r="EP36" s="26"/>
      <c r="EQ36" s="26"/>
      <c r="ER36" s="26"/>
      <c r="ES36" s="26"/>
      <c r="ET36" s="26"/>
      <c r="EU36" s="26"/>
      <c r="EV36" s="408">
        <f t="shared" si="1"/>
        <v>1553.009</v>
      </c>
      <c r="EW36" s="408">
        <f t="shared" si="2"/>
        <v>421.6</v>
      </c>
      <c r="EX36" s="408">
        <f t="shared" si="3"/>
        <v>399.7</v>
      </c>
    </row>
    <row r="37" spans="1:154">
      <c r="A37" s="102" t="s">
        <v>361</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404"/>
      <c r="AP37" s="404"/>
      <c r="AQ37" s="404"/>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404"/>
      <c r="DP37" s="404"/>
      <c r="DQ37" s="404"/>
      <c r="DR37" s="26"/>
      <c r="DS37" s="26"/>
      <c r="DT37" s="26"/>
      <c r="DU37" s="26"/>
      <c r="DV37" s="26"/>
      <c r="DW37" s="26"/>
      <c r="DX37" s="26"/>
      <c r="DY37" s="26"/>
      <c r="DZ37" s="26"/>
      <c r="EA37" s="404"/>
      <c r="EB37" s="404"/>
      <c r="EC37" s="404"/>
      <c r="ED37" s="26"/>
      <c r="EE37" s="26"/>
      <c r="EF37" s="26"/>
      <c r="EG37" s="26"/>
      <c r="EH37" s="26"/>
      <c r="EI37" s="26"/>
      <c r="EJ37" s="26">
        <v>5.7</v>
      </c>
      <c r="EK37" s="26">
        <v>5.7</v>
      </c>
      <c r="EL37" s="26">
        <v>5.7</v>
      </c>
      <c r="EM37" s="26"/>
      <c r="EN37" s="26"/>
      <c r="EO37" s="26"/>
      <c r="EP37" s="26"/>
      <c r="EQ37" s="26"/>
      <c r="ER37" s="26"/>
      <c r="ES37" s="26"/>
      <c r="ET37" s="26"/>
      <c r="EU37" s="26"/>
      <c r="EV37" s="408">
        <f t="shared" si="1"/>
        <v>5.7</v>
      </c>
      <c r="EW37" s="408">
        <f t="shared" si="2"/>
        <v>5.7</v>
      </c>
      <c r="EX37" s="408">
        <f t="shared" si="3"/>
        <v>5.7</v>
      </c>
    </row>
    <row r="38" spans="1:154">
      <c r="A38" s="102" t="s">
        <v>346</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404"/>
      <c r="AP38" s="404"/>
      <c r="AQ38" s="404"/>
      <c r="AR38" s="26"/>
      <c r="AS38" s="26"/>
      <c r="AT38" s="26"/>
      <c r="AU38" s="26"/>
      <c r="AV38" s="26"/>
      <c r="AW38" s="26"/>
      <c r="AX38" s="26"/>
      <c r="AY38" s="26"/>
      <c r="AZ38" s="26"/>
      <c r="BA38" s="26"/>
      <c r="BB38" s="26"/>
      <c r="BC38" s="26"/>
      <c r="BD38" s="26"/>
      <c r="BE38" s="26"/>
      <c r="BF38" s="26"/>
      <c r="BG38" s="26"/>
      <c r="BH38" s="26"/>
      <c r="BI38" s="26"/>
      <c r="BJ38" s="26">
        <v>2498</v>
      </c>
      <c r="BK38" s="26">
        <v>1540.3</v>
      </c>
      <c r="BL38" s="26">
        <v>1540.3</v>
      </c>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404"/>
      <c r="DP38" s="404"/>
      <c r="DQ38" s="404"/>
      <c r="DR38" s="26"/>
      <c r="DS38" s="26"/>
      <c r="DT38" s="26"/>
      <c r="DU38" s="26"/>
      <c r="DV38" s="26"/>
      <c r="DW38" s="26"/>
      <c r="DX38" s="26"/>
      <c r="DY38" s="26"/>
      <c r="DZ38" s="26"/>
      <c r="EA38" s="404"/>
      <c r="EB38" s="404"/>
      <c r="EC38" s="404"/>
      <c r="ED38" s="26"/>
      <c r="EE38" s="26"/>
      <c r="EF38" s="26"/>
      <c r="EG38" s="26"/>
      <c r="EH38" s="26"/>
      <c r="EI38" s="26"/>
      <c r="EJ38" s="26"/>
      <c r="EK38" s="26"/>
      <c r="EL38" s="26"/>
      <c r="EM38" s="26"/>
      <c r="EN38" s="26"/>
      <c r="EO38" s="26"/>
      <c r="EP38" s="26"/>
      <c r="EQ38" s="26"/>
      <c r="ER38" s="26"/>
      <c r="ES38" s="26"/>
      <c r="ET38" s="26"/>
      <c r="EU38" s="26"/>
      <c r="EV38" s="408">
        <f t="shared" si="1"/>
        <v>2498</v>
      </c>
      <c r="EW38" s="408">
        <f t="shared" si="2"/>
        <v>1540.3</v>
      </c>
      <c r="EX38" s="408">
        <f t="shared" si="3"/>
        <v>1540.3</v>
      </c>
    </row>
    <row r="39" spans="1:154">
      <c r="A39" s="102" t="s">
        <v>372</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404"/>
      <c r="AP39" s="404"/>
      <c r="AQ39" s="404"/>
      <c r="AR39" s="26"/>
      <c r="AS39" s="26"/>
      <c r="AT39" s="26"/>
      <c r="AU39" s="26"/>
      <c r="AV39" s="26"/>
      <c r="AW39" s="26"/>
      <c r="AX39" s="26"/>
      <c r="AY39" s="26"/>
      <c r="AZ39" s="26"/>
      <c r="BA39" s="26"/>
      <c r="BB39" s="26"/>
      <c r="BC39" s="26"/>
      <c r="BD39" s="26"/>
      <c r="BE39" s="26"/>
      <c r="BF39" s="26"/>
      <c r="BG39" s="26"/>
      <c r="BH39" s="26"/>
      <c r="BI39" s="26"/>
      <c r="BJ39" s="26"/>
      <c r="BK39" s="26"/>
      <c r="BL39" s="26"/>
      <c r="BM39" s="26">
        <v>5912.8670000000002</v>
      </c>
      <c r="BN39" s="26">
        <v>2772.1</v>
      </c>
      <c r="BO39" s="26">
        <v>1498.8</v>
      </c>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404"/>
      <c r="DP39" s="404"/>
      <c r="DQ39" s="404"/>
      <c r="DR39" s="26"/>
      <c r="DS39" s="26"/>
      <c r="DT39" s="26"/>
      <c r="DU39" s="26"/>
      <c r="DV39" s="26"/>
      <c r="DW39" s="26"/>
      <c r="DX39" s="26"/>
      <c r="DY39" s="26"/>
      <c r="DZ39" s="26"/>
      <c r="EA39" s="404"/>
      <c r="EB39" s="404"/>
      <c r="EC39" s="404"/>
      <c r="ED39" s="26"/>
      <c r="EE39" s="26"/>
      <c r="EF39" s="26"/>
      <c r="EG39" s="26"/>
      <c r="EH39" s="26"/>
      <c r="EI39" s="26"/>
      <c r="EJ39" s="26"/>
      <c r="EK39" s="26"/>
      <c r="EL39" s="26"/>
      <c r="EM39" s="26"/>
      <c r="EN39" s="26"/>
      <c r="EO39" s="26"/>
      <c r="EP39" s="26"/>
      <c r="EQ39" s="26"/>
      <c r="ER39" s="26"/>
      <c r="ES39" s="26"/>
      <c r="ET39" s="26"/>
      <c r="EU39" s="26"/>
      <c r="EV39" s="408">
        <f t="shared" si="1"/>
        <v>5912.8670000000002</v>
      </c>
      <c r="EW39" s="408">
        <f t="shared" si="2"/>
        <v>2772.1</v>
      </c>
      <c r="EX39" s="408">
        <f t="shared" si="3"/>
        <v>1498.8</v>
      </c>
    </row>
    <row r="40" spans="1:154" ht="12.75" customHeight="1">
      <c r="A40" s="102" t="s">
        <v>44</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404"/>
      <c r="AP40" s="404"/>
      <c r="AQ40" s="404"/>
      <c r="AR40" s="26"/>
      <c r="AS40" s="26"/>
      <c r="AT40" s="26"/>
      <c r="AU40" s="26"/>
      <c r="AV40" s="26"/>
      <c r="AW40" s="26"/>
      <c r="AX40" s="26"/>
      <c r="AY40" s="26"/>
      <c r="AZ40" s="26"/>
      <c r="BA40" s="26"/>
      <c r="BB40" s="26"/>
      <c r="BC40" s="26"/>
      <c r="BD40" s="26"/>
      <c r="BE40" s="26"/>
      <c r="BF40" s="26"/>
      <c r="BG40" s="26"/>
      <c r="BH40" s="26"/>
      <c r="BI40" s="26"/>
      <c r="BJ40" s="26"/>
      <c r="BK40" s="26"/>
      <c r="BL40" s="26"/>
      <c r="BM40" s="26">
        <v>3927.2</v>
      </c>
      <c r="BN40" s="26">
        <v>3917</v>
      </c>
      <c r="BO40" s="26">
        <v>3922.4</v>
      </c>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404"/>
      <c r="DP40" s="404"/>
      <c r="DQ40" s="404"/>
      <c r="DR40" s="26"/>
      <c r="DS40" s="26"/>
      <c r="DT40" s="26"/>
      <c r="DU40" s="26"/>
      <c r="DV40" s="26"/>
      <c r="DW40" s="26"/>
      <c r="DX40" s="26"/>
      <c r="DY40" s="26"/>
      <c r="DZ40" s="26"/>
      <c r="EA40" s="404"/>
      <c r="EB40" s="404"/>
      <c r="EC40" s="404"/>
      <c r="ED40" s="26"/>
      <c r="EE40" s="26"/>
      <c r="EF40" s="26"/>
      <c r="EG40" s="26"/>
      <c r="EH40" s="26"/>
      <c r="EI40" s="26"/>
      <c r="EJ40" s="26"/>
      <c r="EK40" s="26"/>
      <c r="EL40" s="26"/>
      <c r="EM40" s="26"/>
      <c r="EN40" s="26"/>
      <c r="EO40" s="26"/>
      <c r="EP40" s="26"/>
      <c r="EQ40" s="26"/>
      <c r="ER40" s="26"/>
      <c r="ES40" s="26"/>
      <c r="ET40" s="26"/>
      <c r="EU40" s="26"/>
      <c r="EV40" s="408">
        <f t="shared" si="1"/>
        <v>3927.2</v>
      </c>
      <c r="EW40" s="408">
        <f t="shared" si="2"/>
        <v>3917</v>
      </c>
      <c r="EX40" s="408">
        <f t="shared" si="3"/>
        <v>3922.4</v>
      </c>
    </row>
    <row r="41" spans="1:154">
      <c r="A41" s="102" t="s">
        <v>373</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404"/>
      <c r="AP41" s="404"/>
      <c r="AQ41" s="404"/>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404"/>
      <c r="DP41" s="404"/>
      <c r="DQ41" s="404"/>
      <c r="DR41" s="26"/>
      <c r="DS41" s="26"/>
      <c r="DT41" s="26"/>
      <c r="DU41" s="26"/>
      <c r="DV41" s="26"/>
      <c r="DW41" s="26"/>
      <c r="DX41" s="26"/>
      <c r="DY41" s="26"/>
      <c r="DZ41" s="26"/>
      <c r="EA41" s="404"/>
      <c r="EB41" s="404"/>
      <c r="EC41" s="404"/>
      <c r="ED41" s="26"/>
      <c r="EE41" s="26"/>
      <c r="EF41" s="26"/>
      <c r="EG41" s="26"/>
      <c r="EH41" s="26"/>
      <c r="EI41" s="26"/>
      <c r="EJ41" s="26"/>
      <c r="EK41" s="26"/>
      <c r="EL41" s="26"/>
      <c r="EM41" s="26"/>
      <c r="EN41" s="26"/>
      <c r="EO41" s="26"/>
      <c r="EP41" s="26"/>
      <c r="EQ41" s="26"/>
      <c r="ER41" s="26"/>
      <c r="ES41" s="26"/>
      <c r="ET41" s="26"/>
      <c r="EU41" s="26"/>
      <c r="EV41" s="157">
        <f t="shared" si="1"/>
        <v>0</v>
      </c>
      <c r="EW41" s="157">
        <f t="shared" si="2"/>
        <v>0</v>
      </c>
      <c r="EX41" s="157">
        <f t="shared" si="3"/>
        <v>0</v>
      </c>
    </row>
    <row r="42" spans="1:154">
      <c r="A42" s="102" t="s">
        <v>47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404"/>
      <c r="AP42" s="404"/>
      <c r="AQ42" s="404"/>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404"/>
      <c r="DP42" s="404"/>
      <c r="DQ42" s="404"/>
      <c r="DR42" s="26"/>
      <c r="DS42" s="26"/>
      <c r="DT42" s="26"/>
      <c r="DU42" s="26"/>
      <c r="DV42" s="26"/>
      <c r="DW42" s="26"/>
      <c r="DX42" s="26"/>
      <c r="DY42" s="26"/>
      <c r="DZ42" s="26"/>
      <c r="EA42" s="404"/>
      <c r="EB42" s="404"/>
      <c r="EC42" s="404"/>
      <c r="ED42" s="26"/>
      <c r="EE42" s="26"/>
      <c r="EF42" s="26"/>
      <c r="EG42" s="26"/>
      <c r="EH42" s="26"/>
      <c r="EI42" s="26"/>
      <c r="EJ42" s="26"/>
      <c r="EK42" s="26"/>
      <c r="EL42" s="26"/>
      <c r="EM42" s="26"/>
      <c r="EN42" s="26"/>
      <c r="EO42" s="26"/>
      <c r="EP42" s="26"/>
      <c r="EQ42" s="26"/>
      <c r="ER42" s="26"/>
      <c r="ES42" s="26"/>
      <c r="ET42" s="26"/>
      <c r="EU42" s="26"/>
      <c r="EV42" s="157">
        <f t="shared" si="1"/>
        <v>0</v>
      </c>
      <c r="EW42" s="157">
        <f t="shared" si="2"/>
        <v>0</v>
      </c>
      <c r="EX42" s="157">
        <f t="shared" si="3"/>
        <v>0</v>
      </c>
    </row>
    <row r="43" spans="1:154">
      <c r="A43" s="102" t="s">
        <v>48</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404"/>
      <c r="AP43" s="404"/>
      <c r="AQ43" s="404"/>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404"/>
      <c r="DP43" s="404"/>
      <c r="DQ43" s="404"/>
      <c r="DR43" s="26"/>
      <c r="DS43" s="26"/>
      <c r="DT43" s="26"/>
      <c r="DU43" s="26"/>
      <c r="DV43" s="26"/>
      <c r="DW43" s="26"/>
      <c r="DX43" s="26"/>
      <c r="DY43" s="26"/>
      <c r="DZ43" s="26"/>
      <c r="EA43" s="404"/>
      <c r="EB43" s="404"/>
      <c r="EC43" s="404"/>
      <c r="ED43" s="26"/>
      <c r="EE43" s="26"/>
      <c r="EF43" s="26"/>
      <c r="EG43" s="26"/>
      <c r="EH43" s="26"/>
      <c r="EI43" s="26"/>
      <c r="EJ43" s="26"/>
      <c r="EK43" s="26"/>
      <c r="EL43" s="26"/>
      <c r="EM43" s="26"/>
      <c r="EN43" s="26"/>
      <c r="EO43" s="26"/>
      <c r="EP43" s="26"/>
      <c r="EQ43" s="26"/>
      <c r="ER43" s="26"/>
      <c r="ES43" s="26"/>
      <c r="ET43" s="26"/>
      <c r="EU43" s="26"/>
      <c r="EV43" s="157">
        <f t="shared" si="1"/>
        <v>0</v>
      </c>
      <c r="EW43" s="157">
        <f t="shared" si="2"/>
        <v>0</v>
      </c>
      <c r="EX43" s="157">
        <f t="shared" si="3"/>
        <v>0</v>
      </c>
    </row>
    <row r="44" spans="1:154" s="103" customFormat="1">
      <c r="A44" s="102" t="s">
        <v>374</v>
      </c>
      <c r="B44" s="26">
        <f t="shared" ref="B44:BP44" si="4">SUM(B4:B43)</f>
        <v>2972.06</v>
      </c>
      <c r="C44" s="26">
        <f t="shared" si="4"/>
        <v>2898.7</v>
      </c>
      <c r="D44" s="26">
        <f t="shared" si="4"/>
        <v>2953.3</v>
      </c>
      <c r="E44" s="26">
        <f t="shared" si="4"/>
        <v>27408.931</v>
      </c>
      <c r="F44" s="26">
        <f t="shared" si="4"/>
        <v>26122.400000000001</v>
      </c>
      <c r="G44" s="26">
        <f t="shared" si="4"/>
        <v>26122.400000000001</v>
      </c>
      <c r="H44" s="26">
        <f t="shared" si="4"/>
        <v>48372.7</v>
      </c>
      <c r="I44" s="26">
        <f t="shared" si="4"/>
        <v>2785</v>
      </c>
      <c r="J44" s="26">
        <f t="shared" si="4"/>
        <v>2947</v>
      </c>
      <c r="K44" s="26">
        <f t="shared" si="4"/>
        <v>14700</v>
      </c>
      <c r="L44" s="26">
        <f t="shared" si="4"/>
        <v>10200</v>
      </c>
      <c r="M44" s="26">
        <f t="shared" si="4"/>
        <v>10200</v>
      </c>
      <c r="N44" s="26">
        <f t="shared" si="4"/>
        <v>17700</v>
      </c>
      <c r="O44" s="26">
        <f t="shared" si="4"/>
        <v>0</v>
      </c>
      <c r="P44" s="26">
        <f t="shared" si="4"/>
        <v>0</v>
      </c>
      <c r="Q44" s="26">
        <f t="shared" si="4"/>
        <v>363.1</v>
      </c>
      <c r="R44" s="26">
        <f t="shared" si="4"/>
        <v>0</v>
      </c>
      <c r="S44" s="26">
        <f t="shared" si="4"/>
        <v>145.6</v>
      </c>
      <c r="T44" s="26">
        <f t="shared" si="4"/>
        <v>118983.508</v>
      </c>
      <c r="U44" s="26">
        <f t="shared" si="4"/>
        <v>111659.1</v>
      </c>
      <c r="V44" s="26">
        <f t="shared" si="4"/>
        <v>112233.9</v>
      </c>
      <c r="W44" s="26">
        <f t="shared" si="4"/>
        <v>200493.837</v>
      </c>
      <c r="X44" s="26">
        <f t="shared" si="4"/>
        <v>69971.763999999996</v>
      </c>
      <c r="Y44" s="26">
        <f t="shared" si="4"/>
        <v>76875.471000000005</v>
      </c>
      <c r="Z44" s="26">
        <f t="shared" si="4"/>
        <v>204592.24400000001</v>
      </c>
      <c r="AA44" s="26">
        <f t="shared" si="4"/>
        <v>81646.176999999996</v>
      </c>
      <c r="AB44" s="26">
        <f t="shared" si="4"/>
        <v>81104.100000000006</v>
      </c>
      <c r="AC44" s="26">
        <f t="shared" si="4"/>
        <v>95243.299999999988</v>
      </c>
      <c r="AD44" s="26">
        <f t="shared" si="4"/>
        <v>48881.799999999996</v>
      </c>
      <c r="AE44" s="26">
        <f t="shared" si="4"/>
        <v>49242.399999999994</v>
      </c>
      <c r="AF44" s="26">
        <f t="shared" si="4"/>
        <v>9070.1</v>
      </c>
      <c r="AG44" s="26">
        <f t="shared" si="4"/>
        <v>9070.1</v>
      </c>
      <c r="AH44" s="26">
        <f t="shared" si="4"/>
        <v>9070.1</v>
      </c>
      <c r="AI44" s="26">
        <f t="shared" si="4"/>
        <v>909.19999999999993</v>
      </c>
      <c r="AJ44" s="26">
        <f t="shared" si="4"/>
        <v>909.19999999999993</v>
      </c>
      <c r="AK44" s="26">
        <f t="shared" si="4"/>
        <v>909.19999999999993</v>
      </c>
      <c r="AL44" s="26">
        <f t="shared" si="4"/>
        <v>25515.1</v>
      </c>
      <c r="AM44" s="26">
        <f t="shared" si="4"/>
        <v>3083.5</v>
      </c>
      <c r="AN44" s="26">
        <f t="shared" si="4"/>
        <v>3083.5</v>
      </c>
      <c r="AO44" s="404">
        <f t="shared" ref="AO44:AQ44" si="5">SUM(AO4:AO43)</f>
        <v>4200</v>
      </c>
      <c r="AP44" s="404">
        <f t="shared" si="5"/>
        <v>0</v>
      </c>
      <c r="AQ44" s="404">
        <f t="shared" si="5"/>
        <v>0</v>
      </c>
      <c r="AR44" s="26">
        <f t="shared" si="4"/>
        <v>4306.8</v>
      </c>
      <c r="AS44" s="26">
        <f t="shared" si="4"/>
        <v>2456</v>
      </c>
      <c r="AT44" s="26">
        <f t="shared" si="4"/>
        <v>2467</v>
      </c>
      <c r="AU44" s="26">
        <f t="shared" si="4"/>
        <v>64897.55</v>
      </c>
      <c r="AV44" s="26">
        <f t="shared" si="4"/>
        <v>6506.5</v>
      </c>
      <c r="AW44" s="26">
        <f t="shared" si="4"/>
        <v>2190.6999999999998</v>
      </c>
      <c r="AX44" s="26">
        <f t="shared" si="4"/>
        <v>370.3</v>
      </c>
      <c r="AY44" s="26">
        <f t="shared" si="4"/>
        <v>0</v>
      </c>
      <c r="AZ44" s="26">
        <f t="shared" si="4"/>
        <v>0</v>
      </c>
      <c r="BA44" s="26">
        <f t="shared" si="4"/>
        <v>440</v>
      </c>
      <c r="BB44" s="26">
        <f t="shared" si="4"/>
        <v>0</v>
      </c>
      <c r="BC44" s="26">
        <f t="shared" si="4"/>
        <v>405</v>
      </c>
      <c r="BD44" s="26">
        <f t="shared" si="4"/>
        <v>700</v>
      </c>
      <c r="BE44" s="26">
        <f t="shared" si="4"/>
        <v>100</v>
      </c>
      <c r="BF44" s="26">
        <f t="shared" si="4"/>
        <v>100</v>
      </c>
      <c r="BG44" s="26">
        <f t="shared" si="4"/>
        <v>1904.1</v>
      </c>
      <c r="BH44" s="26">
        <f t="shared" si="4"/>
        <v>0</v>
      </c>
      <c r="BI44" s="26">
        <f t="shared" si="4"/>
        <v>0</v>
      </c>
      <c r="BJ44" s="26">
        <f t="shared" si="4"/>
        <v>2498</v>
      </c>
      <c r="BK44" s="26">
        <f t="shared" si="4"/>
        <v>1540.3</v>
      </c>
      <c r="BL44" s="26">
        <f t="shared" si="4"/>
        <v>1540.3</v>
      </c>
      <c r="BM44" s="26">
        <f t="shared" si="4"/>
        <v>9840.0669999999991</v>
      </c>
      <c r="BN44" s="26">
        <f t="shared" si="4"/>
        <v>6689.1</v>
      </c>
      <c r="BO44" s="26">
        <f t="shared" si="4"/>
        <v>5421.2</v>
      </c>
      <c r="BP44" s="26">
        <f t="shared" si="4"/>
        <v>300</v>
      </c>
      <c r="BQ44" s="26">
        <f t="shared" ref="BQ44:EK44" si="6">SUM(BQ4:BQ43)</f>
        <v>0</v>
      </c>
      <c r="BR44" s="26">
        <f t="shared" si="6"/>
        <v>0</v>
      </c>
      <c r="BS44" s="26">
        <f t="shared" si="6"/>
        <v>18.7</v>
      </c>
      <c r="BT44" s="26">
        <f t="shared" si="6"/>
        <v>0</v>
      </c>
      <c r="BU44" s="26">
        <f t="shared" si="6"/>
        <v>0</v>
      </c>
      <c r="BV44" s="26">
        <f t="shared" si="6"/>
        <v>1653.009</v>
      </c>
      <c r="BW44" s="26">
        <f t="shared" si="6"/>
        <v>521.6</v>
      </c>
      <c r="BX44" s="26">
        <f t="shared" si="6"/>
        <v>499.7</v>
      </c>
      <c r="BY44" s="26">
        <f t="shared" si="6"/>
        <v>50789.43</v>
      </c>
      <c r="BZ44" s="26">
        <f t="shared" si="6"/>
        <v>13374.6</v>
      </c>
      <c r="CA44" s="26">
        <f t="shared" si="6"/>
        <v>9189.4</v>
      </c>
      <c r="CB44" s="26">
        <f t="shared" si="6"/>
        <v>181</v>
      </c>
      <c r="CC44" s="26">
        <f t="shared" si="6"/>
        <v>0</v>
      </c>
      <c r="CD44" s="26">
        <f t="shared" si="6"/>
        <v>0</v>
      </c>
      <c r="CE44" s="26">
        <f t="shared" ref="CE44:CG44" si="7">SUM(CE4:CE43)</f>
        <v>0</v>
      </c>
      <c r="CF44" s="26">
        <f t="shared" si="7"/>
        <v>0</v>
      </c>
      <c r="CG44" s="26">
        <f t="shared" si="7"/>
        <v>0</v>
      </c>
      <c r="CH44" s="26">
        <f t="shared" si="6"/>
        <v>0</v>
      </c>
      <c r="CI44" s="26">
        <f t="shared" si="6"/>
        <v>0</v>
      </c>
      <c r="CJ44" s="26">
        <f t="shared" si="6"/>
        <v>0</v>
      </c>
      <c r="CK44" s="26">
        <f t="shared" si="6"/>
        <v>16131.5</v>
      </c>
      <c r="CL44" s="26">
        <f t="shared" si="6"/>
        <v>16131.5</v>
      </c>
      <c r="CM44" s="26">
        <f t="shared" si="6"/>
        <v>0</v>
      </c>
      <c r="CN44" s="26">
        <f t="shared" si="6"/>
        <v>52874</v>
      </c>
      <c r="CO44" s="26">
        <f t="shared" si="6"/>
        <v>53134.400000000001</v>
      </c>
      <c r="CP44" s="26">
        <f t="shared" si="6"/>
        <v>0</v>
      </c>
      <c r="CQ44" s="26">
        <f t="shared" si="6"/>
        <v>0</v>
      </c>
      <c r="CR44" s="26">
        <f t="shared" si="6"/>
        <v>0</v>
      </c>
      <c r="CS44" s="26">
        <f t="shared" si="6"/>
        <v>0</v>
      </c>
      <c r="CT44" s="26">
        <f t="shared" si="6"/>
        <v>43947.354999999996</v>
      </c>
      <c r="CU44" s="26">
        <f t="shared" si="6"/>
        <v>38754.387999999999</v>
      </c>
      <c r="CV44" s="26">
        <f t="shared" si="6"/>
        <v>37979.341</v>
      </c>
      <c r="CW44" s="26">
        <f t="shared" si="6"/>
        <v>76429.63</v>
      </c>
      <c r="CX44" s="26">
        <f t="shared" si="6"/>
        <v>76279.650000000009</v>
      </c>
      <c r="CY44" s="26">
        <f t="shared" si="6"/>
        <v>76279.650000000009</v>
      </c>
      <c r="CZ44" s="26">
        <f t="shared" si="6"/>
        <v>0</v>
      </c>
      <c r="DA44" s="26">
        <f t="shared" si="6"/>
        <v>0</v>
      </c>
      <c r="DB44" s="26">
        <f t="shared" si="6"/>
        <v>0</v>
      </c>
      <c r="DC44" s="26">
        <f t="shared" si="6"/>
        <v>0</v>
      </c>
      <c r="DD44" s="26">
        <f t="shared" si="6"/>
        <v>0</v>
      </c>
      <c r="DE44" s="26">
        <f t="shared" si="6"/>
        <v>0</v>
      </c>
      <c r="DF44" s="26">
        <f t="shared" si="6"/>
        <v>12300.7</v>
      </c>
      <c r="DG44" s="26">
        <f t="shared" si="6"/>
        <v>12097.300000000001</v>
      </c>
      <c r="DH44" s="26">
        <f t="shared" si="6"/>
        <v>12136</v>
      </c>
      <c r="DI44" s="26">
        <f t="shared" si="6"/>
        <v>0</v>
      </c>
      <c r="DJ44" s="26">
        <f t="shared" si="6"/>
        <v>0</v>
      </c>
      <c r="DK44" s="26">
        <f t="shared" si="6"/>
        <v>0</v>
      </c>
      <c r="DL44" s="26">
        <f t="shared" si="6"/>
        <v>335.1</v>
      </c>
      <c r="DM44" s="26">
        <f t="shared" si="6"/>
        <v>226.1</v>
      </c>
      <c r="DN44" s="26">
        <f t="shared" si="6"/>
        <v>135.19999999999999</v>
      </c>
      <c r="DO44" s="404">
        <f t="shared" ref="DO44:DQ44" si="8">SUM(DO4:DO43)</f>
        <v>10</v>
      </c>
      <c r="DP44" s="404">
        <f t="shared" si="8"/>
        <v>10</v>
      </c>
      <c r="DQ44" s="404">
        <f t="shared" si="8"/>
        <v>10</v>
      </c>
      <c r="DR44" s="26">
        <f t="shared" si="6"/>
        <v>9136.4</v>
      </c>
      <c r="DS44" s="26">
        <f t="shared" si="6"/>
        <v>5808</v>
      </c>
      <c r="DT44" s="26">
        <f t="shared" si="6"/>
        <v>6114</v>
      </c>
      <c r="DU44" s="26">
        <f t="shared" si="6"/>
        <v>23788</v>
      </c>
      <c r="DV44" s="26">
        <f t="shared" si="6"/>
        <v>22565</v>
      </c>
      <c r="DW44" s="26">
        <f t="shared" si="6"/>
        <v>22881</v>
      </c>
      <c r="DX44" s="26">
        <f t="shared" si="6"/>
        <v>10500</v>
      </c>
      <c r="DY44" s="26">
        <f t="shared" si="6"/>
        <v>0</v>
      </c>
      <c r="DZ44" s="26">
        <f t="shared" si="6"/>
        <v>0</v>
      </c>
      <c r="EA44" s="404">
        <f t="shared" ref="EA44:EC44" si="9">SUM(EA4:EA43)</f>
        <v>910</v>
      </c>
      <c r="EB44" s="404">
        <f t="shared" si="9"/>
        <v>910</v>
      </c>
      <c r="EC44" s="404">
        <f t="shared" si="9"/>
        <v>910</v>
      </c>
      <c r="ED44" s="26">
        <f t="shared" si="6"/>
        <v>124.79300000000001</v>
      </c>
      <c r="EE44" s="26">
        <f t="shared" si="6"/>
        <v>130.54000000000002</v>
      </c>
      <c r="EF44" s="26">
        <f t="shared" si="6"/>
        <v>136.28700000000001</v>
      </c>
      <c r="EG44" s="26">
        <f t="shared" si="6"/>
        <v>112</v>
      </c>
      <c r="EH44" s="26">
        <f t="shared" si="6"/>
        <v>0</v>
      </c>
      <c r="EI44" s="26">
        <f t="shared" si="6"/>
        <v>128</v>
      </c>
      <c r="EJ44" s="26">
        <f t="shared" si="6"/>
        <v>3084.7</v>
      </c>
      <c r="EK44" s="26">
        <f t="shared" si="6"/>
        <v>1585.7</v>
      </c>
      <c r="EL44" s="26">
        <f t="shared" ref="EL44:EQ44" si="10">SUM(EL4:EL43)</f>
        <v>1405.7</v>
      </c>
      <c r="EM44" s="26">
        <f t="shared" si="10"/>
        <v>0</v>
      </c>
      <c r="EN44" s="26">
        <f t="shared" si="10"/>
        <v>0</v>
      </c>
      <c r="EO44" s="26">
        <f t="shared" si="10"/>
        <v>0</v>
      </c>
      <c r="EP44" s="26">
        <f t="shared" si="10"/>
        <v>221.666</v>
      </c>
      <c r="EQ44" s="26">
        <f t="shared" si="10"/>
        <v>207.62200000000001</v>
      </c>
      <c r="ER44" s="26">
        <f t="shared" ref="ER44:EU44" si="11">SUM(ER4:ER43)</f>
        <v>207.62200000000001</v>
      </c>
      <c r="ES44" s="26">
        <f t="shared" si="11"/>
        <v>0</v>
      </c>
      <c r="ET44" s="26">
        <f t="shared" si="11"/>
        <v>13747</v>
      </c>
      <c r="EU44" s="26">
        <f t="shared" si="11"/>
        <v>27670</v>
      </c>
      <c r="EV44" s="157">
        <f>SUM(EV4:EV43)</f>
        <v>1158328.8799999999</v>
      </c>
      <c r="EW44" s="157">
        <f t="shared" ref="EW44" si="12">SUM(EW4:EW43)</f>
        <v>640003.04099999997</v>
      </c>
      <c r="EX44" s="157">
        <f>SUM(EX4:EX43)</f>
        <v>582693.07100000011</v>
      </c>
    </row>
    <row r="45" spans="1:154">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7"/>
      <c r="CN45" s="107"/>
      <c r="CO45" s="107"/>
      <c r="CP45" s="107"/>
      <c r="CQ45" s="107">
        <f>B44+E44+H44+K44+N44+Q44+T44+W44+Z44+AC44+AF44+AI44+AL44+AR44+AU44+AX44+BA44+BD44+BG44+BJ44+BM44+BP44+BS44+BV44+BY44+CB44+CH44+CK44+CN44+CQ44</f>
        <v>973228.53599999996</v>
      </c>
      <c r="CR45" s="107">
        <f>C44+F44+I44+L44+O44+R44+U44+X44+AA44+AD44+AG44+AJ44+AM44+AS44+AV44+AY44+BB44+BE44+BH44+BK44+BN44+BQ44+BT44+BW44+BZ44+CC44+CI44+CL44+CO44+CR44</f>
        <v>467681.74099999992</v>
      </c>
      <c r="CS45" s="107">
        <f>D44+G44+J44+M44+P44+S44+V44+Y44+AB44+AE44+AH44+AK44+AN44+AT44+AW44+AZ44+BC44+BF44+BI44+BL44+BO44+BR44+BU44+BX44+CA44+CD44+CJ44+CM44+CP44+CS44</f>
        <v>396700.27100000001</v>
      </c>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405"/>
      <c r="DP45" s="405"/>
      <c r="DQ45" s="405"/>
      <c r="DR45" s="107"/>
      <c r="DS45" s="107"/>
      <c r="DT45" s="107"/>
      <c r="DU45" s="107"/>
      <c r="DV45" s="107"/>
      <c r="DW45" s="107"/>
      <c r="DX45" s="108"/>
      <c r="DY45" s="108"/>
      <c r="DZ45" s="108"/>
      <c r="EA45" s="625"/>
      <c r="EB45" s="625"/>
      <c r="EC45" s="625"/>
      <c r="ED45" s="107">
        <f>CT44+CW44+CZ44+DC44+DF44+DI44+DL44+DR44+DU44+DX44+ED44</f>
        <v>176561.978</v>
      </c>
      <c r="EE45" s="108"/>
      <c r="EF45" s="108"/>
      <c r="EG45" s="107"/>
      <c r="EH45" s="107"/>
      <c r="EI45" s="107"/>
      <c r="EJ45" s="108"/>
      <c r="EK45" s="108"/>
      <c r="EL45" s="108"/>
      <c r="EM45" s="108"/>
      <c r="EN45" s="108"/>
      <c r="EO45" s="108"/>
      <c r="EP45" s="107">
        <f>EG44+EJ44+EM44+EP44</f>
        <v>3418.366</v>
      </c>
      <c r="EQ45" s="107"/>
      <c r="ER45" s="107"/>
      <c r="ES45" s="107"/>
      <c r="ET45" s="107"/>
      <c r="EU45" s="107"/>
      <c r="EW45" s="107"/>
    </row>
    <row r="46" spans="1:154">
      <c r="EV46" s="446">
        <f>B44+E44+H44+K44+N44+Q44+T44+W44+Z44+AC44+AF44+AI44+AL44+AR44+AU44+AX44+BA44+BD44+BG44+BJ44+BM44+BP44+BS44+BV44+BY44+CB44+CH44+CK44+CN44+CQ44+CT44+CW44+CZ44+DC44+DF44+DI44+DL44+DR44+DU44+DX44+ED44+EG44+EJ44+EP44+ES44</f>
        <v>1153208.8799999999</v>
      </c>
      <c r="EW46" s="446">
        <f>C44+F44+I44+L44+O44+R44+U44+X44+AA44+AD44+AG44+AJ44+AM44+AS44+AV44+AY44+BB44+BE44+BH44+BK44+BN44+BQ44+BT44+BW44+BZ44+CC44+CI44+CL44+CO44+CR44+CU44+CX44+DA44+DD44+DG44+DJ44+DM44+DS44+DV44+DY44+EE44+EH44+EK44+EQ44+ET44</f>
        <v>639083.04099999985</v>
      </c>
      <c r="EX46" s="446">
        <f>D44+G44+J44+M44+P44+S44+V44+Y44+AB44+AE44+AH44+AK44+AN44+AT44+AW44+AZ44+BC44+BF44+BI44+BL44+BO44+BR44+BU44+BX44+CA44+CD44+CJ44+CM44+CP44+CS44+CV44+CY44+DB44+DE44+DH44+DK44+DN44+DT44+DW44+DZ44+EF44+EI44+EL44+ER44+EU44</f>
        <v>581773.071</v>
      </c>
    </row>
  </sheetData>
  <mergeCells count="51">
    <mergeCell ref="B2:D2"/>
    <mergeCell ref="AR2:AT2"/>
    <mergeCell ref="Q2:S2"/>
    <mergeCell ref="CH2:CJ2"/>
    <mergeCell ref="BA2:BC2"/>
    <mergeCell ref="AX2:AZ2"/>
    <mergeCell ref="K2:M2"/>
    <mergeCell ref="N2:P2"/>
    <mergeCell ref="H2:J2"/>
    <mergeCell ref="BD2:BF2"/>
    <mergeCell ref="AF2:AH2"/>
    <mergeCell ref="AU2:AW2"/>
    <mergeCell ref="BY2:CA2"/>
    <mergeCell ref="AC2:AE2"/>
    <mergeCell ref="EV2:EX2"/>
    <mergeCell ref="EP2:ER2"/>
    <mergeCell ref="EM2:EO2"/>
    <mergeCell ref="CN2:CP2"/>
    <mergeCell ref="CK2:CM2"/>
    <mergeCell ref="DF2:DH2"/>
    <mergeCell ref="EJ2:EL2"/>
    <mergeCell ref="CZ2:DB2"/>
    <mergeCell ref="EG2:EI2"/>
    <mergeCell ref="ED2:EF2"/>
    <mergeCell ref="DX2:DZ2"/>
    <mergeCell ref="DR2:DT2"/>
    <mergeCell ref="CT2:CV2"/>
    <mergeCell ref="EA2:EC2"/>
    <mergeCell ref="DO2:DQ2"/>
    <mergeCell ref="ES2:EU2"/>
    <mergeCell ref="DU2:DW2"/>
    <mergeCell ref="DI2:DK2"/>
    <mergeCell ref="E2:G2"/>
    <mergeCell ref="AL2:AN2"/>
    <mergeCell ref="T2:V2"/>
    <mergeCell ref="AO2:AQ2"/>
    <mergeCell ref="BP2:BR2"/>
    <mergeCell ref="BG2:BI2"/>
    <mergeCell ref="CW2:CY2"/>
    <mergeCell ref="DC2:DE2"/>
    <mergeCell ref="DL2:DN2"/>
    <mergeCell ref="BJ2:BL2"/>
    <mergeCell ref="BM2:BO2"/>
    <mergeCell ref="W2:Y2"/>
    <mergeCell ref="Z2:AB2"/>
    <mergeCell ref="AI2:AK2"/>
    <mergeCell ref="CQ2:CS2"/>
    <mergeCell ref="CE2:CG2"/>
    <mergeCell ref="CB2:CD2"/>
    <mergeCell ref="BS2:BU2"/>
    <mergeCell ref="BV2:BX2"/>
  </mergeCells>
  <pageMargins left="0.31496062992125984" right="0" top="1.1417322834645669" bottom="0.19685039370078741" header="0.31496062992125984" footer="0.31496062992125984"/>
  <pageSetup paperSize="9" scale="73" orientation="landscape" r:id="rId1"/>
</worksheet>
</file>

<file path=xl/worksheets/sheet4.xml><?xml version="1.0" encoding="utf-8"?>
<worksheet xmlns="http://schemas.openxmlformats.org/spreadsheetml/2006/main" xmlns:r="http://schemas.openxmlformats.org/officeDocument/2006/relationships">
  <dimension ref="A2:J30"/>
  <sheetViews>
    <sheetView workbookViewId="0">
      <selection activeCell="F28" sqref="F28"/>
    </sheetView>
  </sheetViews>
  <sheetFormatPr defaultRowHeight="12.75"/>
  <cols>
    <col min="1" max="1" width="17.85546875" style="315" customWidth="1"/>
    <col min="2" max="5" width="10.140625" bestFit="1" customWidth="1"/>
    <col min="6" max="7" width="10.140625" style="27" bestFit="1" customWidth="1"/>
    <col min="8" max="10" width="11.7109375" customWidth="1"/>
  </cols>
  <sheetData>
    <row r="2" spans="1:10" s="315" customFormat="1">
      <c r="A2" s="316"/>
      <c r="B2" s="1020" t="s">
        <v>354</v>
      </c>
      <c r="C2" s="1020"/>
      <c r="D2" s="1020"/>
      <c r="E2" s="1020" t="s">
        <v>517</v>
      </c>
      <c r="F2" s="1021"/>
      <c r="G2" s="1021"/>
      <c r="H2" s="1020" t="s">
        <v>920</v>
      </c>
      <c r="I2" s="1021"/>
      <c r="J2" s="1021"/>
    </row>
    <row r="3" spans="1:10">
      <c r="A3" s="316"/>
      <c r="B3" s="317">
        <v>2021</v>
      </c>
      <c r="C3" s="317">
        <v>2022</v>
      </c>
      <c r="D3" s="317">
        <v>2023</v>
      </c>
      <c r="E3" s="317">
        <v>2021</v>
      </c>
      <c r="F3" s="323">
        <v>2022</v>
      </c>
      <c r="G3" s="323">
        <v>2023</v>
      </c>
      <c r="H3" s="317">
        <v>2021</v>
      </c>
      <c r="I3" s="317">
        <v>2022</v>
      </c>
      <c r="J3" s="317">
        <v>2023</v>
      </c>
    </row>
    <row r="4" spans="1:10">
      <c r="A4" s="320" t="s">
        <v>921</v>
      </c>
      <c r="B4" s="318">
        <v>4534.6000000000004</v>
      </c>
      <c r="C4" s="318">
        <v>4391</v>
      </c>
      <c r="D4" s="318">
        <v>4391</v>
      </c>
      <c r="E4" s="318">
        <v>3566.5</v>
      </c>
      <c r="F4" s="324">
        <v>3710.1</v>
      </c>
      <c r="G4" s="324">
        <v>3710.1</v>
      </c>
      <c r="H4" s="318">
        <f>B4+E4</f>
        <v>8101.1</v>
      </c>
      <c r="I4" s="318">
        <f t="shared" ref="I4:J4" si="0">C4+F4</f>
        <v>8101.1</v>
      </c>
      <c r="J4" s="318">
        <f t="shared" si="0"/>
        <v>8101.1</v>
      </c>
    </row>
    <row r="5" spans="1:10">
      <c r="A5" s="320" t="s">
        <v>922</v>
      </c>
      <c r="B5" s="318">
        <v>406.44400000000002</v>
      </c>
      <c r="C5" s="318">
        <v>398.63200000000001</v>
      </c>
      <c r="D5" s="318">
        <v>398.63200000000001</v>
      </c>
      <c r="E5" s="318">
        <v>609.55600000000004</v>
      </c>
      <c r="F5" s="324">
        <v>617.36800000000005</v>
      </c>
      <c r="G5" s="324">
        <v>617.36800000000005</v>
      </c>
      <c r="H5" s="318">
        <f t="shared" ref="H5:H27" si="1">B5+E5</f>
        <v>1016</v>
      </c>
      <c r="I5" s="318">
        <f t="shared" ref="I5:I27" si="2">C5+F5</f>
        <v>1016</v>
      </c>
      <c r="J5" s="318">
        <f t="shared" ref="J5:J27" si="3">D5+G5</f>
        <v>1016</v>
      </c>
    </row>
    <row r="6" spans="1:10">
      <c r="A6" s="320" t="s">
        <v>923</v>
      </c>
      <c r="B6" s="318">
        <v>2359.3780000000002</v>
      </c>
      <c r="C6" s="318">
        <v>0</v>
      </c>
      <c r="D6" s="318">
        <v>0</v>
      </c>
      <c r="E6" s="318">
        <v>2367.029</v>
      </c>
      <c r="F6" s="324">
        <v>0</v>
      </c>
      <c r="G6" s="324">
        <v>0</v>
      </c>
      <c r="H6" s="318">
        <f t="shared" si="1"/>
        <v>4726.4070000000002</v>
      </c>
      <c r="I6" s="318">
        <f t="shared" si="2"/>
        <v>0</v>
      </c>
      <c r="J6" s="318">
        <f t="shared" si="3"/>
        <v>0</v>
      </c>
    </row>
    <row r="7" spans="1:10">
      <c r="A7" s="320" t="s">
        <v>924</v>
      </c>
      <c r="B7" s="318">
        <v>2200</v>
      </c>
      <c r="C7" s="318">
        <v>0</v>
      </c>
      <c r="D7" s="318">
        <v>0</v>
      </c>
      <c r="E7" s="318">
        <v>1350</v>
      </c>
      <c r="F7" s="324">
        <v>0</v>
      </c>
      <c r="G7" s="324">
        <v>0</v>
      </c>
      <c r="H7" s="318">
        <f t="shared" si="1"/>
        <v>3550</v>
      </c>
      <c r="I7" s="318">
        <f t="shared" si="2"/>
        <v>0</v>
      </c>
      <c r="J7" s="318">
        <f t="shared" si="3"/>
        <v>0</v>
      </c>
    </row>
    <row r="8" spans="1:10">
      <c r="A8" s="320" t="s">
        <v>923</v>
      </c>
      <c r="B8" s="318">
        <v>2200</v>
      </c>
      <c r="C8" s="318">
        <v>0</v>
      </c>
      <c r="D8" s="318">
        <v>0</v>
      </c>
      <c r="E8" s="318">
        <v>1350</v>
      </c>
      <c r="F8" s="324">
        <v>0</v>
      </c>
      <c r="G8" s="324">
        <v>0</v>
      </c>
      <c r="H8" s="318">
        <f t="shared" si="1"/>
        <v>3550</v>
      </c>
      <c r="I8" s="318">
        <f t="shared" si="2"/>
        <v>0</v>
      </c>
      <c r="J8" s="318">
        <f t="shared" si="3"/>
        <v>0</v>
      </c>
    </row>
    <row r="9" spans="1:10">
      <c r="A9" s="320" t="s">
        <v>925</v>
      </c>
      <c r="B9" s="318">
        <v>646.65</v>
      </c>
      <c r="C9" s="318">
        <v>0</v>
      </c>
      <c r="D9" s="318">
        <v>0</v>
      </c>
      <c r="E9" s="318">
        <v>646.65</v>
      </c>
      <c r="F9" s="324">
        <v>0</v>
      </c>
      <c r="G9" s="324">
        <v>0</v>
      </c>
      <c r="H9" s="318">
        <f t="shared" si="1"/>
        <v>1293.3</v>
      </c>
      <c r="I9" s="318">
        <f t="shared" si="2"/>
        <v>0</v>
      </c>
      <c r="J9" s="318">
        <f t="shared" si="3"/>
        <v>0</v>
      </c>
    </row>
    <row r="10" spans="1:10">
      <c r="A10" s="320" t="s">
        <v>926</v>
      </c>
      <c r="B10" s="318">
        <v>870.8</v>
      </c>
      <c r="C10" s="318">
        <v>870.8</v>
      </c>
      <c r="D10" s="318">
        <v>870.8</v>
      </c>
      <c r="E10" s="318">
        <v>0</v>
      </c>
      <c r="F10" s="324">
        <v>0</v>
      </c>
      <c r="G10" s="324">
        <v>0</v>
      </c>
      <c r="H10" s="318">
        <f t="shared" si="1"/>
        <v>870.8</v>
      </c>
      <c r="I10" s="318">
        <f t="shared" si="2"/>
        <v>870.8</v>
      </c>
      <c r="J10" s="318">
        <f t="shared" si="3"/>
        <v>870.8</v>
      </c>
    </row>
    <row r="11" spans="1:10">
      <c r="A11" s="320" t="s">
        <v>927</v>
      </c>
      <c r="B11" s="318">
        <v>899.00099999999998</v>
      </c>
      <c r="C11" s="318">
        <v>679</v>
      </c>
      <c r="D11" s="318">
        <v>1054</v>
      </c>
      <c r="E11" s="318">
        <v>210.999</v>
      </c>
      <c r="F11" s="324">
        <v>431</v>
      </c>
      <c r="G11" s="324">
        <v>56</v>
      </c>
      <c r="H11" s="318">
        <f t="shared" si="1"/>
        <v>1110</v>
      </c>
      <c r="I11" s="318">
        <f t="shared" si="2"/>
        <v>1110</v>
      </c>
      <c r="J11" s="318">
        <f t="shared" si="3"/>
        <v>1110</v>
      </c>
    </row>
    <row r="12" spans="1:10">
      <c r="A12" s="320" t="s">
        <v>928</v>
      </c>
      <c r="B12" s="318">
        <v>11571.289000000001</v>
      </c>
      <c r="C12" s="318">
        <v>9014.5</v>
      </c>
      <c r="D12" s="318">
        <v>8431.7240000000002</v>
      </c>
      <c r="E12" s="318">
        <v>5210.0860000000002</v>
      </c>
      <c r="F12" s="324">
        <v>9014.5</v>
      </c>
      <c r="G12" s="324">
        <v>8431.7240000000002</v>
      </c>
      <c r="H12" s="318">
        <f t="shared" si="1"/>
        <v>16781.375</v>
      </c>
      <c r="I12" s="318">
        <f t="shared" si="2"/>
        <v>18029</v>
      </c>
      <c r="J12" s="318">
        <f t="shared" si="3"/>
        <v>16863.448</v>
      </c>
    </row>
    <row r="13" spans="1:10">
      <c r="A13" s="320" t="s">
        <v>929</v>
      </c>
      <c r="B13" s="318">
        <v>2370.0230000000001</v>
      </c>
      <c r="C13" s="318">
        <v>1346.9939999999999</v>
      </c>
      <c r="D13" s="318">
        <v>1259.913</v>
      </c>
      <c r="E13" s="318">
        <v>1067.126</v>
      </c>
      <c r="F13" s="324">
        <v>1346.9939999999999</v>
      </c>
      <c r="G13" s="324">
        <v>1259.913</v>
      </c>
      <c r="H13" s="318">
        <f t="shared" si="1"/>
        <v>3437.1490000000003</v>
      </c>
      <c r="I13" s="318">
        <f t="shared" si="2"/>
        <v>2693.9879999999998</v>
      </c>
      <c r="J13" s="318">
        <f t="shared" si="3"/>
        <v>2519.826</v>
      </c>
    </row>
    <row r="14" spans="1:10">
      <c r="A14" s="320" t="s">
        <v>930</v>
      </c>
      <c r="B14" s="318">
        <v>20311.2</v>
      </c>
      <c r="C14" s="318">
        <v>21170.52</v>
      </c>
      <c r="D14" s="318">
        <v>21014.28</v>
      </c>
      <c r="E14" s="318">
        <v>21717.362000000001</v>
      </c>
      <c r="F14" s="324">
        <v>21170.52</v>
      </c>
      <c r="G14" s="324">
        <v>21014.28</v>
      </c>
      <c r="H14" s="318">
        <f t="shared" si="1"/>
        <v>42028.562000000005</v>
      </c>
      <c r="I14" s="318">
        <f t="shared" si="2"/>
        <v>42341.04</v>
      </c>
      <c r="J14" s="318">
        <f t="shared" si="3"/>
        <v>42028.56</v>
      </c>
    </row>
    <row r="15" spans="1:10">
      <c r="A15" s="320" t="s">
        <v>931</v>
      </c>
      <c r="B15" s="318">
        <v>760.83799999999997</v>
      </c>
      <c r="C15" s="318">
        <v>760.84199999999998</v>
      </c>
      <c r="D15" s="318">
        <v>1521.45</v>
      </c>
      <c r="E15" s="318">
        <v>760.83799999999997</v>
      </c>
      <c r="F15" s="324">
        <v>760.84199999999998</v>
      </c>
      <c r="G15" s="324">
        <v>1521.45</v>
      </c>
      <c r="H15" s="318">
        <f t="shared" si="1"/>
        <v>1521.6759999999999</v>
      </c>
      <c r="I15" s="318">
        <f t="shared" si="2"/>
        <v>1521.684</v>
      </c>
      <c r="J15" s="318">
        <f t="shared" si="3"/>
        <v>3042.9</v>
      </c>
    </row>
    <row r="16" spans="1:10">
      <c r="A16" s="320" t="s">
        <v>932</v>
      </c>
      <c r="B16" s="318">
        <v>23.530999999999999</v>
      </c>
      <c r="C16" s="318">
        <v>23.530999999999999</v>
      </c>
      <c r="D16" s="318">
        <v>47.055</v>
      </c>
      <c r="E16" s="318">
        <v>23.530999999999999</v>
      </c>
      <c r="F16" s="324">
        <v>23.530999999999999</v>
      </c>
      <c r="G16" s="324">
        <v>47.055</v>
      </c>
      <c r="H16" s="318">
        <f t="shared" si="1"/>
        <v>47.061999999999998</v>
      </c>
      <c r="I16" s="318">
        <f t="shared" si="2"/>
        <v>47.061999999999998</v>
      </c>
      <c r="J16" s="318">
        <f t="shared" si="3"/>
        <v>94.11</v>
      </c>
    </row>
    <row r="17" spans="1:10">
      <c r="A17" s="320" t="s">
        <v>933</v>
      </c>
      <c r="B17" s="318">
        <v>0</v>
      </c>
      <c r="C17" s="318">
        <v>0</v>
      </c>
      <c r="D17" s="318">
        <v>4044</v>
      </c>
      <c r="E17" s="318">
        <v>0</v>
      </c>
      <c r="F17" s="324">
        <v>0</v>
      </c>
      <c r="G17" s="324">
        <v>4044</v>
      </c>
      <c r="H17" s="318">
        <f t="shared" si="1"/>
        <v>0</v>
      </c>
      <c r="I17" s="318">
        <f t="shared" si="2"/>
        <v>0</v>
      </c>
      <c r="J17" s="318">
        <f t="shared" si="3"/>
        <v>8088</v>
      </c>
    </row>
    <row r="18" spans="1:10">
      <c r="A18" s="320" t="s">
        <v>934</v>
      </c>
      <c r="B18" s="318">
        <v>1656.7729999999999</v>
      </c>
      <c r="C18" s="318">
        <v>0</v>
      </c>
      <c r="D18" s="318">
        <v>0</v>
      </c>
      <c r="E18" s="318">
        <v>449.47899999999998</v>
      </c>
      <c r="F18" s="324">
        <v>0</v>
      </c>
      <c r="G18" s="324">
        <v>0</v>
      </c>
      <c r="H18" s="318">
        <f t="shared" si="1"/>
        <v>2106.252</v>
      </c>
      <c r="I18" s="318">
        <f t="shared" si="2"/>
        <v>0</v>
      </c>
      <c r="J18" s="318">
        <f t="shared" si="3"/>
        <v>0</v>
      </c>
    </row>
    <row r="19" spans="1:10">
      <c r="A19" s="320" t="s">
        <v>935</v>
      </c>
      <c r="B19" s="318">
        <v>51.24</v>
      </c>
      <c r="C19" s="318">
        <v>0</v>
      </c>
      <c r="D19" s="318">
        <v>0</v>
      </c>
      <c r="E19" s="318">
        <v>13.901</v>
      </c>
      <c r="F19" s="324">
        <v>0</v>
      </c>
      <c r="G19" s="324">
        <v>0</v>
      </c>
      <c r="H19" s="318">
        <f t="shared" si="1"/>
        <v>65.141000000000005</v>
      </c>
      <c r="I19" s="318">
        <f t="shared" si="2"/>
        <v>0</v>
      </c>
      <c r="J19" s="318">
        <f t="shared" si="3"/>
        <v>0</v>
      </c>
    </row>
    <row r="20" spans="1:10">
      <c r="A20" s="320" t="s">
        <v>936</v>
      </c>
      <c r="B20" s="318">
        <v>1227.335</v>
      </c>
      <c r="C20" s="318">
        <v>620.5</v>
      </c>
      <c r="D20" s="318">
        <v>888.05</v>
      </c>
      <c r="E20" s="318">
        <v>2048.3649999999998</v>
      </c>
      <c r="F20" s="324">
        <v>620.5</v>
      </c>
      <c r="G20" s="324">
        <v>888.05</v>
      </c>
      <c r="H20" s="318">
        <f t="shared" si="1"/>
        <v>3275.7</v>
      </c>
      <c r="I20" s="318">
        <f t="shared" si="2"/>
        <v>1241</v>
      </c>
      <c r="J20" s="318">
        <f t="shared" si="3"/>
        <v>1776.1</v>
      </c>
    </row>
    <row r="21" spans="1:10">
      <c r="A21" s="320" t="s">
        <v>937</v>
      </c>
      <c r="B21" s="318">
        <v>3685.127</v>
      </c>
      <c r="C21" s="318">
        <v>768.43899999999996</v>
      </c>
      <c r="D21" s="318">
        <v>1516.77</v>
      </c>
      <c r="E21" s="318">
        <v>3685.127</v>
      </c>
      <c r="F21" s="324">
        <v>768.43899999999996</v>
      </c>
      <c r="G21" s="324">
        <v>1516.77</v>
      </c>
      <c r="H21" s="318">
        <f t="shared" si="1"/>
        <v>7370.2539999999999</v>
      </c>
      <c r="I21" s="318">
        <f t="shared" si="2"/>
        <v>1536.8779999999999</v>
      </c>
      <c r="J21" s="318">
        <f t="shared" si="3"/>
        <v>3033.54</v>
      </c>
    </row>
    <row r="22" spans="1:10">
      <c r="A22" s="320" t="s">
        <v>938</v>
      </c>
      <c r="B22" s="318">
        <v>113.973</v>
      </c>
      <c r="C22" s="318">
        <v>23.765999999999998</v>
      </c>
      <c r="D22" s="318">
        <v>46.911000000000001</v>
      </c>
      <c r="E22" s="318">
        <v>113.973</v>
      </c>
      <c r="F22" s="324">
        <v>23.765999999999998</v>
      </c>
      <c r="G22" s="324">
        <v>46.911000000000001</v>
      </c>
      <c r="H22" s="318">
        <f t="shared" si="1"/>
        <v>227.946</v>
      </c>
      <c r="I22" s="318">
        <f t="shared" si="2"/>
        <v>47.531999999999996</v>
      </c>
      <c r="J22" s="318">
        <f t="shared" si="3"/>
        <v>93.822000000000003</v>
      </c>
    </row>
    <row r="23" spans="1:10" ht="38.25">
      <c r="A23" s="322" t="s">
        <v>939</v>
      </c>
      <c r="B23" s="318">
        <v>978.00800000000004</v>
      </c>
      <c r="C23" s="318">
        <v>983</v>
      </c>
      <c r="D23" s="318">
        <v>983</v>
      </c>
      <c r="E23" s="318">
        <v>0</v>
      </c>
      <c r="F23" s="324">
        <v>0</v>
      </c>
      <c r="G23" s="324">
        <v>0</v>
      </c>
      <c r="H23" s="318">
        <f t="shared" si="1"/>
        <v>978.00800000000004</v>
      </c>
      <c r="I23" s="318">
        <f t="shared" si="2"/>
        <v>983</v>
      </c>
      <c r="J23" s="318">
        <f t="shared" si="3"/>
        <v>983</v>
      </c>
    </row>
    <row r="24" spans="1:10">
      <c r="A24" s="320" t="s">
        <v>940</v>
      </c>
      <c r="B24" s="318">
        <v>23890.149000000001</v>
      </c>
      <c r="C24" s="318">
        <v>23907.8</v>
      </c>
      <c r="D24" s="318">
        <v>24398.1</v>
      </c>
      <c r="E24" s="318">
        <v>38814.949999999997</v>
      </c>
      <c r="F24" s="324">
        <v>38889.1</v>
      </c>
      <c r="G24" s="324">
        <v>39808.300000000003</v>
      </c>
      <c r="H24" s="318">
        <f t="shared" si="1"/>
        <v>62705.099000000002</v>
      </c>
      <c r="I24" s="318">
        <f t="shared" si="2"/>
        <v>62796.899999999994</v>
      </c>
      <c r="J24" s="318">
        <f t="shared" si="3"/>
        <v>64206.400000000001</v>
      </c>
    </row>
    <row r="25" spans="1:10">
      <c r="A25" s="320" t="s">
        <v>941</v>
      </c>
      <c r="B25" s="318">
        <v>2691.2449999999999</v>
      </c>
      <c r="C25" s="318">
        <v>0</v>
      </c>
      <c r="D25" s="318">
        <v>0</v>
      </c>
      <c r="E25" s="318">
        <v>2107.3000000000002</v>
      </c>
      <c r="F25" s="324">
        <v>0</v>
      </c>
      <c r="G25" s="324">
        <v>0</v>
      </c>
      <c r="H25" s="318">
        <f t="shared" si="1"/>
        <v>4798.5450000000001</v>
      </c>
      <c r="I25" s="318">
        <f t="shared" si="2"/>
        <v>0</v>
      </c>
      <c r="J25" s="318">
        <f t="shared" si="3"/>
        <v>0</v>
      </c>
    </row>
    <row r="26" spans="1:10">
      <c r="A26" s="320" t="s">
        <v>942</v>
      </c>
      <c r="B26" s="318">
        <v>1717.008</v>
      </c>
      <c r="C26" s="318">
        <v>1867.5</v>
      </c>
      <c r="D26" s="318">
        <v>1867.5</v>
      </c>
      <c r="E26" s="318">
        <v>1444.992</v>
      </c>
      <c r="F26" s="324">
        <v>1294.5</v>
      </c>
      <c r="G26" s="324">
        <v>1294.5</v>
      </c>
      <c r="H26" s="318">
        <f t="shared" ref="H26" si="4">B26+E26</f>
        <v>3162</v>
      </c>
      <c r="I26" s="318">
        <f t="shared" ref="I26" si="5">C26+F26</f>
        <v>3162</v>
      </c>
      <c r="J26" s="318">
        <f t="shared" ref="J26" si="6">D26+G26</f>
        <v>3162</v>
      </c>
    </row>
    <row r="27" spans="1:10">
      <c r="A27" s="320" t="s">
        <v>943</v>
      </c>
      <c r="B27" s="318">
        <v>250</v>
      </c>
      <c r="C27" s="318">
        <v>0</v>
      </c>
      <c r="D27" s="318">
        <v>0</v>
      </c>
      <c r="E27" s="318">
        <v>35</v>
      </c>
      <c r="F27" s="324">
        <v>0</v>
      </c>
      <c r="G27" s="324">
        <v>0</v>
      </c>
      <c r="H27" s="318">
        <f t="shared" si="1"/>
        <v>285</v>
      </c>
      <c r="I27" s="318">
        <f t="shared" si="2"/>
        <v>0</v>
      </c>
      <c r="J27" s="318">
        <f t="shared" si="3"/>
        <v>0</v>
      </c>
    </row>
    <row r="28" spans="1:10">
      <c r="A28" s="321"/>
      <c r="B28" s="318">
        <f>SUM(B4:B27)</f>
        <v>85414.612000000008</v>
      </c>
      <c r="C28" s="318">
        <f t="shared" ref="C28:J28" si="7">SUM(C4:C27)</f>
        <v>66826.823999999993</v>
      </c>
      <c r="D28" s="318">
        <f t="shared" si="7"/>
        <v>72733.184999999998</v>
      </c>
      <c r="E28" s="318">
        <f t="shared" si="7"/>
        <v>87592.76400000001</v>
      </c>
      <c r="F28" s="324">
        <f t="shared" si="7"/>
        <v>78671.16</v>
      </c>
      <c r="G28" s="324">
        <f t="shared" si="7"/>
        <v>84256.421000000002</v>
      </c>
      <c r="H28" s="318">
        <f t="shared" si="7"/>
        <v>173007.37600000002</v>
      </c>
      <c r="I28" s="318">
        <f t="shared" si="7"/>
        <v>145497.984</v>
      </c>
      <c r="J28" s="318">
        <f t="shared" si="7"/>
        <v>156989.606</v>
      </c>
    </row>
    <row r="29" spans="1:10">
      <c r="A29" s="321"/>
      <c r="B29" s="318"/>
      <c r="C29" s="318"/>
      <c r="D29" s="318"/>
      <c r="E29" s="318"/>
      <c r="F29" s="324"/>
      <c r="G29" s="324"/>
      <c r="H29" s="318"/>
      <c r="I29" s="318"/>
      <c r="J29" s="318"/>
    </row>
    <row r="30" spans="1:10">
      <c r="A30" s="319"/>
    </row>
  </sheetData>
  <mergeCells count="3">
    <mergeCell ref="B2:D2"/>
    <mergeCell ref="E2:G2"/>
    <mergeCell ref="H2:J2"/>
  </mergeCells>
  <pageMargins left="0.39370078740157483" right="0" top="0.9448818897637796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dimension ref="A3:B42"/>
  <sheetViews>
    <sheetView topLeftCell="A13" workbookViewId="0">
      <selection activeCell="B7" sqref="B7"/>
    </sheetView>
  </sheetViews>
  <sheetFormatPr defaultRowHeight="12.75"/>
  <cols>
    <col min="1" max="1" width="5.85546875" customWidth="1"/>
    <col min="2" max="2" width="105.28515625" style="419" customWidth="1"/>
  </cols>
  <sheetData>
    <row r="3" spans="1:2" s="418" customFormat="1" ht="25.5">
      <c r="A3" s="420">
        <v>1</v>
      </c>
      <c r="B3" s="421" t="s">
        <v>1042</v>
      </c>
    </row>
    <row r="4" spans="1:2" ht="15.75">
      <c r="A4" s="422" t="s">
        <v>1044</v>
      </c>
      <c r="B4" s="423" t="s">
        <v>1043</v>
      </c>
    </row>
    <row r="5" spans="1:2" ht="76.5" customHeight="1">
      <c r="A5" s="317"/>
      <c r="B5" s="424" t="s">
        <v>1045</v>
      </c>
    </row>
    <row r="6" spans="1:2" ht="38.25">
      <c r="A6" s="317"/>
      <c r="B6" s="424" t="s">
        <v>1046</v>
      </c>
    </row>
    <row r="7" spans="1:2" ht="102">
      <c r="A7" s="317"/>
      <c r="B7" s="424" t="s">
        <v>1047</v>
      </c>
    </row>
    <row r="8" spans="1:2" ht="51">
      <c r="A8" s="317"/>
      <c r="B8" s="424" t="s">
        <v>1049</v>
      </c>
    </row>
    <row r="9" spans="1:2" ht="51">
      <c r="A9" s="317"/>
      <c r="B9" s="424" t="s">
        <v>1050</v>
      </c>
    </row>
    <row r="10" spans="1:2" ht="63.75">
      <c r="A10" s="317"/>
      <c r="B10" s="424" t="s">
        <v>1048</v>
      </c>
    </row>
    <row r="11" spans="1:2" ht="51">
      <c r="A11" s="317"/>
      <c r="B11" s="424" t="s">
        <v>1051</v>
      </c>
    </row>
    <row r="12" spans="1:2" ht="63.75" customHeight="1">
      <c r="A12" s="317"/>
      <c r="B12" s="424" t="s">
        <v>1052</v>
      </c>
    </row>
    <row r="13" spans="1:2" ht="63.75">
      <c r="A13" s="317"/>
      <c r="B13" s="424" t="s">
        <v>1053</v>
      </c>
    </row>
    <row r="14" spans="1:2" ht="76.5">
      <c r="A14" s="317"/>
      <c r="B14" s="424" t="s">
        <v>1054</v>
      </c>
    </row>
    <row r="15" spans="1:2" ht="51">
      <c r="A15" s="317"/>
      <c r="B15" s="424" t="s">
        <v>1055</v>
      </c>
    </row>
    <row r="16" spans="1:2" ht="76.5">
      <c r="A16" s="317"/>
      <c r="B16" s="424" t="s">
        <v>1056</v>
      </c>
    </row>
    <row r="17" spans="1:2" ht="30">
      <c r="A17" s="425" t="s">
        <v>1058</v>
      </c>
      <c r="B17" s="426" t="s">
        <v>1057</v>
      </c>
    </row>
    <row r="18" spans="1:2" ht="51.75" customHeight="1">
      <c r="A18" s="317"/>
      <c r="B18" s="424" t="s">
        <v>1059</v>
      </c>
    </row>
    <row r="19" spans="1:2" ht="38.25">
      <c r="A19" s="317"/>
      <c r="B19" s="424" t="s">
        <v>1060</v>
      </c>
    </row>
    <row r="20" spans="1:2" ht="51">
      <c r="A20" s="317"/>
      <c r="B20" s="424" t="s">
        <v>1061</v>
      </c>
    </row>
    <row r="21" spans="1:2" ht="51">
      <c r="A21" s="317"/>
      <c r="B21" s="424" t="s">
        <v>1062</v>
      </c>
    </row>
    <row r="22" spans="1:2" ht="51">
      <c r="A22" s="317"/>
      <c r="B22" s="424" t="s">
        <v>1063</v>
      </c>
    </row>
    <row r="23" spans="1:2" ht="51">
      <c r="A23" s="317"/>
      <c r="B23" s="424" t="s">
        <v>1064</v>
      </c>
    </row>
    <row r="24" spans="1:2">
      <c r="A24" s="425" t="s">
        <v>1065</v>
      </c>
      <c r="B24" s="424" t="s">
        <v>1066</v>
      </c>
    </row>
    <row r="25" spans="1:2" ht="51">
      <c r="A25" s="317"/>
      <c r="B25" s="427" t="s">
        <v>1067</v>
      </c>
    </row>
    <row r="26" spans="1:2" ht="51">
      <c r="A26" s="317"/>
      <c r="B26" s="427" t="s">
        <v>1068</v>
      </c>
    </row>
    <row r="27" spans="1:2" ht="51">
      <c r="A27" s="317"/>
      <c r="B27" s="427" t="s">
        <v>1069</v>
      </c>
    </row>
    <row r="28" spans="1:2" ht="38.25">
      <c r="A28" s="317"/>
      <c r="B28" s="427" t="s">
        <v>1070</v>
      </c>
    </row>
    <row r="29" spans="1:2" ht="63.75">
      <c r="A29" s="317"/>
      <c r="B29" s="427" t="s">
        <v>1071</v>
      </c>
    </row>
    <row r="30" spans="1:2" ht="38.25">
      <c r="A30" s="317"/>
      <c r="B30" s="427" t="s">
        <v>1072</v>
      </c>
    </row>
    <row r="31" spans="1:2" ht="51">
      <c r="A31" s="317"/>
      <c r="B31" s="427" t="s">
        <v>1073</v>
      </c>
    </row>
    <row r="32" spans="1:2" ht="49.5" customHeight="1">
      <c r="A32" s="317"/>
      <c r="B32" s="427" t="s">
        <v>1074</v>
      </c>
    </row>
    <row r="33" spans="1:2" ht="63.75">
      <c r="A33" s="317"/>
      <c r="B33" s="427" t="s">
        <v>1075</v>
      </c>
    </row>
    <row r="34" spans="1:2" ht="50.25" customHeight="1">
      <c r="A34" s="317"/>
      <c r="B34" s="427" t="s">
        <v>1076</v>
      </c>
    </row>
    <row r="35" spans="1:2" ht="76.5">
      <c r="A35" s="317"/>
      <c r="B35" s="427" t="s">
        <v>1077</v>
      </c>
    </row>
    <row r="36" spans="1:2" ht="51">
      <c r="A36" s="317"/>
      <c r="B36" s="427" t="s">
        <v>1078</v>
      </c>
    </row>
    <row r="37" spans="1:2" ht="51">
      <c r="A37" s="317"/>
      <c r="B37" s="427" t="s">
        <v>1079</v>
      </c>
    </row>
    <row r="38" spans="1:2" ht="38.25" customHeight="1">
      <c r="A38" s="317"/>
      <c r="B38" s="427" t="s">
        <v>1080</v>
      </c>
    </row>
    <row r="39" spans="1:2" ht="63.75">
      <c r="A39" s="317"/>
      <c r="B39" s="427" t="s">
        <v>1081</v>
      </c>
    </row>
    <row r="40" spans="1:2" ht="51">
      <c r="A40" s="317"/>
      <c r="B40" s="427" t="s">
        <v>1082</v>
      </c>
    </row>
    <row r="41" spans="1:2" ht="51">
      <c r="A41" s="317"/>
      <c r="B41" s="427" t="s">
        <v>1083</v>
      </c>
    </row>
    <row r="42" spans="1:2" ht="51">
      <c r="A42" s="317"/>
      <c r="B42" s="427" t="s">
        <v>1084</v>
      </c>
    </row>
  </sheetData>
  <pageMargins left="0.31496062992125984" right="0" top="0.55118110236220474"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frmRRO4</vt:lpstr>
      <vt:lpstr>план 2021 (план, факт)</vt:lpstr>
      <vt:lpstr>план 2023</vt:lpstr>
      <vt:lpstr>Лист2</vt:lpstr>
      <vt:lpstr>Программы Томские</vt:lpstr>
      <vt:lpstr>frmRRO4!Заголовки_для_печати</vt:lpstr>
      <vt:lpstr>'план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2016-03-29T09:23:23Z</dcterms:created>
  <dcterms:modified xsi:type="dcterms:W3CDTF">2023-05-29T07:44:35Z</dcterms:modified>
</cp:coreProperties>
</file>