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tabRatio="570" activeTab="0"/>
  </bookViews>
  <sheets>
    <sheet name="Район на 01.05.2012" sheetId="1" r:id="rId1"/>
    <sheet name="Субс посел 2011" sheetId="2" r:id="rId2"/>
  </sheets>
  <definedNames>
    <definedName name="_xlnm._FilterDatabase" localSheetId="0" hidden="1">'Район на 01.05.2012'!$A$4:$R$291</definedName>
    <definedName name="_xlnm._FilterDatabase" localSheetId="1" hidden="1">'Субс посел 2011'!$A$3:$G$126</definedName>
    <definedName name="_xlnm.Print_Area" localSheetId="1">'Субс посел 2011'!$A$1:$H$126</definedName>
  </definedNames>
  <calcPr fullCalcOnLoad="1"/>
</workbook>
</file>

<file path=xl/sharedStrings.xml><?xml version="1.0" encoding="utf-8"?>
<sst xmlns="http://schemas.openxmlformats.org/spreadsheetml/2006/main" count="1999" uniqueCount="1061">
  <si>
    <t>Решение Думы Колпашевского района от 10.12.2008 № 578 " О бюджете муниципального образования "Колпашевский район" на 2009 год" (в редакции от 18.06.2009 № 665)</t>
  </si>
  <si>
    <t>Решение Думы Колпашевского района от 10.12.2008 № 578 " О бюджете муниципального образования "Колпашевский район" на 2009 год" (в редакции  от 28.08.2009 № 688)</t>
  </si>
  <si>
    <t>Расходы за счет субсидии на обеспечение жильем молодых семей  на обеспечение специалистов, проживающих в сельской местности (по федеральной целевой программе "Социальное развитие села до 2010 года")</t>
  </si>
  <si>
    <t xml:space="preserve"> Решение Думы Колпашевского района  от 24.03.2008 № 447 "О порядке использования средств субсидии из областногобюджета на финансирование расходов, связанных с обеспечением условий для развития физической культуры и массового  спорта на территории муниципального образования "колпашевский район" (в редакции от 27.10.2008 № 549)</t>
  </si>
  <si>
    <t>2.1.</t>
  </si>
  <si>
    <t>Расходы на реализацию мер по улучшению жилищных условий граждан, проживающих в сельской местности</t>
  </si>
  <si>
    <t>2011 год</t>
  </si>
  <si>
    <t>Расходы на оплату членских взносов Ассоциации "Совет муниципальных образований Томской области"</t>
  </si>
  <si>
    <t>01.01.2010, не установлен</t>
  </si>
  <si>
    <t>0709</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</si>
  <si>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</si>
  <si>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Решение Думы Колпашевского района от 10.12.2008 № 578 "О бюджете муниципального образования "Колпашевский район" на 2009 год", решение Думы Колпашевского районаот 27.03.2009 № 631 "О порядке использования средств субсидии на комплектование книжных фондов библиотек муниципальных образований  в Колпашевском районе"</t>
  </si>
  <si>
    <t xml:space="preserve">Закон Томской области от 14 июня 2000 г. N 24-ОЗ "О государственной молодежной политике в Томской области" </t>
  </si>
  <si>
    <t>гл. 5</t>
  </si>
  <si>
    <t>30.06.2000, не установлен</t>
  </si>
  <si>
    <t>Гл.3, ст.15</t>
  </si>
  <si>
    <t xml:space="preserve">О компенсации расходов на питание учащимся из малообеспеченных семей </t>
  </si>
  <si>
    <t>п.1-3</t>
  </si>
  <si>
    <t>2.1.10.</t>
  </si>
  <si>
    <t>владение, пользование и распоряжение имуществом, находящимся в муниципальной собственности муниципального района</t>
  </si>
  <si>
    <t>Расходы на организацию и содержание мест захоронения отходов</t>
  </si>
  <si>
    <t>0503</t>
  </si>
  <si>
    <t>0702</t>
  </si>
  <si>
    <t>2.1.30.</t>
  </si>
  <si>
    <t>Решение Думы Колпашевского района от 10.12.2008 № 578" О бюджете муниципального образования "Колпашевский район" на 2009 год" (в редакции от 28.08.2009 № 688);  решения Думы Колпашевского района от 16.01.2009 № 593 "О порядке использования средств субсидии  на компенсацию расходов по организации электроснабжения от дизельных электростанций в муниципальном образовании "Колпашевский район" в 2009 году"</t>
  </si>
  <si>
    <t>Решение Думы Колпашевского района от  08.09.2008 № 536 "О компенсации расходов по организации теплоснабжения  энергоснабжающими организациями, использующими в качестве топлива нефть или мазут (в редакции от 21.09.2009 № 710)</t>
  </si>
  <si>
    <t>Решение Думы Колпашевского района от 28.02.2006 № 82 "О вступлении в Совет Муниципальных образований Томской области" (в редакции от 22.12.2006 № 255, от 26.02.2010 № 814 )</t>
  </si>
  <si>
    <t>Иные межбюджетные трансферты на проектирование и строительство газораспределительных сетей многоквартирных домов</t>
  </si>
  <si>
    <t xml:space="preserve">Иные межбюджетные трансферты на осуществление полномочий по первичному воинскому учету на территориях, где отсутствуют военные коммиссариаты  </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</si>
  <si>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</si>
  <si>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2.1.6.</t>
  </si>
  <si>
    <t>Наименование субсидий и субвенций</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</si>
  <si>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</si>
  <si>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</si>
  <si>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</si>
  <si>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 xml:space="preserve">п.2-4 Положения </t>
  </si>
  <si>
    <t xml:space="preserve">01.01.2006, не установлен </t>
  </si>
  <si>
    <t xml:space="preserve">п.3-4 Порядка </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</si>
  <si>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</si>
  <si>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формирование, утверждение, исполнение бюджета муниципального района, контроль за исполнением данного бюджета</t>
  </si>
  <si>
    <t>Оказание первичной медико-санитарной помощи, медицинской помощи женщинам в период беременности, во время и после родов и скорой медицинской помощи (за исключением санитарно-авиационной) на территории Колпашевского района</t>
  </si>
  <si>
    <t>31.10.2006, не установлен</t>
  </si>
  <si>
    <t>2.1.1.</t>
  </si>
  <si>
    <t>ст. 3,5</t>
  </si>
  <si>
    <t>08.05.2006, вводиться ежегодно ЗТО "Об областном бюджете на очередной финансовый год"</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</si>
  <si>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</si>
  <si>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01.01.2006, не установлен</t>
  </si>
  <si>
    <t>Федеральный Закон от 06.10.2003 № 131-ФЗ "Об общих принципах организации местного самоуправления"</t>
  </si>
  <si>
    <t>16.10.2003, не установлен</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</si>
  <si>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</si>
  <si>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п.6-7</t>
  </si>
  <si>
    <t>2.1.19.</t>
  </si>
  <si>
    <t>2.1.7.</t>
  </si>
  <si>
    <t>п.1-3 Положения</t>
  </si>
  <si>
    <t>гр.17</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</si>
  <si>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</si>
  <si>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</si>
  <si>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Закон РФ от 19 февраля 1993 г. N 4520-I "О государственных гарантиях и компенсациях для лиц, работающих и проживающих в районах Крайнего Севера и приравненных к ним местностях"</t>
  </si>
  <si>
    <t>2.1.8.</t>
  </si>
  <si>
    <t>вводиться ежегодно ЗТО "Об областном бюджете на очередной финансовый год"</t>
  </si>
  <si>
    <t>Расходы на проведение мероприятий для детей и молодежи</t>
  </si>
  <si>
    <t>2.4.</t>
  </si>
  <si>
    <t>2.1.24.</t>
  </si>
  <si>
    <t>Гл.3, ст.15, п.1, п.п.7</t>
  </si>
  <si>
    <t>Гл.3, ст.15, п.1, п.п.12</t>
  </si>
  <si>
    <t>Гл.3, ст.15, п.1, п.п.20</t>
  </si>
  <si>
    <t>Гл.3, ст.15, п.1, п.п.26</t>
  </si>
  <si>
    <t>Гл.3, ст.15, п.1, п.п.27</t>
  </si>
  <si>
    <t>Решение Думы Колпашевскогорайона от 13.02.2009 № 615 "О распределении и порядке использования средств иных межбюджетных трансфертов за счет субсидии областного бюджета и иных межбюджетных трансфертов из бюджета муниципального образования "Колпашевский район"на дорожную деятельность в отношении автомобильных дорог местного значения,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РФ между бюджетами поселений Колпашевского района"</t>
  </si>
  <si>
    <t xml:space="preserve">Наименоваание НПА </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</si>
  <si>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</si>
  <si>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</si>
  <si>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t>
  </si>
  <si>
    <t>Расходы на предоставление субсидий некоммерческим организациям, не являющимися бюджетными учреждениями</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</si>
  <si>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t>
  </si>
  <si>
    <t>Решение Думы Колпашевского района от 26.12.2007 № 401 "О порядке расходования средств местного бюджета на финансирование проведения муниципальных выборов"</t>
  </si>
  <si>
    <t>2.1.33.</t>
  </si>
  <si>
    <t>01.01.2006 вводится в действие ежегодно</t>
  </si>
  <si>
    <t>ст. 31</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</si>
  <si>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</si>
  <si>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</si>
  <si>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Закон Томской области от 12 января 2007 г. N 29-ОЗ "О референдуме Томской области и местном референдуме"</t>
  </si>
  <si>
    <t>ч.1 ст.28, ч.7,8 ст.44</t>
  </si>
  <si>
    <t>29.01.2007, не установлен</t>
  </si>
  <si>
    <t>2.1.23.</t>
  </si>
  <si>
    <t>Решение Думы Колпашевского района от 23.07.2008 № 515 "О порядке использования средств бюджета муниципального образования "Колпашевский район" на проведение мероприятий по улучшению жилищных условий граждан, проживающих в сельской местности  в рамках реализации постановления Администрации Томской области от 23.05.2008 № 99а "О мерах по улучшению жилищных условий граждан, проживающих в сельской местности на территории Томской области"</t>
  </si>
  <si>
    <t xml:space="preserve">Субсидия на комплектование книжных фондов библиотек муниципальных образований </t>
  </si>
  <si>
    <t>п.5-6</t>
  </si>
  <si>
    <t xml:space="preserve">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t>
  </si>
  <si>
    <t xml:space="preserve">Федеральный Закон от 06.10.2003 № 131-ФЗ "Об общих принципах организации местного самоуправления";
</t>
  </si>
  <si>
    <t xml:space="preserve">16.10.2003, не установлен; </t>
  </si>
  <si>
    <t xml:space="preserve">Гл.3, ст.15, п.1, п.п.11       </t>
  </si>
  <si>
    <t>Ст. 31</t>
  </si>
  <si>
    <t>Решение Думы Колпашевского района от 26.12.07 № 415 "Об утверждении Положения о реализации и финансировании мероприятий по содействию занятости населения из средств бюджета муниципального образования "Колпашевский район" на 2008 год"</t>
  </si>
  <si>
    <t>п.1-2</t>
  </si>
  <si>
    <t>Решение Думы Колпашевского района от 08.10.2005 № 418 "Об утверждении положений " (Приложение 1)</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</si>
  <si>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t>
  </si>
  <si>
    <t>Гл. 6- 9 Положения</t>
  </si>
  <si>
    <t>ст. 2-4</t>
  </si>
  <si>
    <t>01.05.2006 вводиться в действие ежегодно</t>
  </si>
  <si>
    <t>Постановление Правительства РФ от 7 марта 1995 г. N 239 "О мерах по упорядочению государственного регулирования цен (тарифов)"</t>
  </si>
  <si>
    <t>п. 1 абз. 4</t>
  </si>
  <si>
    <t>16.03.1995, не установлен</t>
  </si>
  <si>
    <t>ст. 2-5</t>
  </si>
  <si>
    <t>гр.13</t>
  </si>
  <si>
    <t>гр.14</t>
  </si>
  <si>
    <t>гр.15</t>
  </si>
  <si>
    <t>01.01.2007, не установлен</t>
  </si>
  <si>
    <t>Физкультурно - оздоровительная работа и спортивные мероприятия</t>
  </si>
  <si>
    <t>п. 1-2</t>
  </si>
  <si>
    <t>2.1.20.</t>
  </si>
  <si>
    <t>Расходы на стимулирующие выплаты за высокие результаты и качество выполняемых работ в муниципальных общеобразовательных учреждениях за счёт средств межбюджетных трансфертов из областного бюджета</t>
  </si>
  <si>
    <t xml:space="preserve">Решение Думы Колпашевского района от 08.10.2005 № 418 "Об утверждении  положений" (Приложение 1) </t>
  </si>
  <si>
    <t>01.01.2006 - 31.12.2007</t>
  </si>
  <si>
    <t>28.02.2006, не установлен</t>
  </si>
  <si>
    <t>2.1.37.</t>
  </si>
  <si>
    <t>Гл.3, ст.15, п.1, п.п.2</t>
  </si>
  <si>
    <t>Гл.3, ст.15, п.1, п.п.5</t>
  </si>
  <si>
    <t>организация мероприятий межпоселенческого характера по охране окружающей среды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</si>
  <si>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</si>
  <si>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субсидии отражаемые в расходных обязательствах поселений Колпашевского района</t>
  </si>
  <si>
    <t>п. 1-5</t>
  </si>
  <si>
    <t>формирование и содержание муниципального архива, включая хранение архивных фондов поселений</t>
  </si>
  <si>
    <t>2.1.4.</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</si>
  <si>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t>
  </si>
  <si>
    <t>2.1.18.</t>
  </si>
  <si>
    <t>Мероприятия по организации оздоровительной компании</t>
  </si>
  <si>
    <t>гр.3</t>
  </si>
  <si>
    <t>гр.4</t>
  </si>
  <si>
    <t>гр.5</t>
  </si>
  <si>
    <t>гр.6</t>
  </si>
  <si>
    <t>гр.7</t>
  </si>
  <si>
    <t>гр.8</t>
  </si>
  <si>
    <t>гр.9</t>
  </si>
  <si>
    <t>гр.10</t>
  </si>
  <si>
    <t>гр.11</t>
  </si>
  <si>
    <t>гр.12</t>
  </si>
  <si>
    <t>Организация предоставления общедоступного и бесплатного начального общего, основного общего, среднего (полного) общего образования на территории муниципального образования "Колпашевский район"</t>
  </si>
  <si>
    <t>0901</t>
  </si>
  <si>
    <t>п. 2 Положения</t>
  </si>
  <si>
    <t>Расходы на содержание МУ "Агентство по управлению муниципальным имуществом и размещению муниципального заказа"</t>
  </si>
  <si>
    <t>п. 1-3</t>
  </si>
  <si>
    <t>29.02.1993, не установлен</t>
  </si>
  <si>
    <t>ст. 5</t>
  </si>
  <si>
    <t xml:space="preserve">п. 2-4 Положения  </t>
  </si>
  <si>
    <t>Организация предоставления дополнительного образования на территории муниципального района</t>
  </si>
  <si>
    <t>2.1.31.</t>
  </si>
  <si>
    <t>ВСЕГО</t>
  </si>
  <si>
    <t>организация и осуществление мероприятий межпоселенческого характера по работе с детьми и молодежью</t>
  </si>
  <si>
    <t>Мероприятия в области занятости населения</t>
  </si>
  <si>
    <t>Субсидии на государственную поддержку малого предпринимательства включая крестьянские (фермерские) хозяйства</t>
  </si>
  <si>
    <t>Решение Думы Колпашевского района от 28.04.2008 № 466 "Об утверждении Порядка использования средств субвенции из областного бюджета, связанных с осуществлением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в муниципальном образовании "Колпашевский район" (в редакции от 27.10.2008 № 550, от 16.01.2009 № 596)</t>
  </si>
  <si>
    <t>0102</t>
  </si>
  <si>
    <t>2.1.2.</t>
  </si>
  <si>
    <t>01.01.2008, не установлен</t>
  </si>
  <si>
    <t>Гл.3, ст.15, п.1, п.п.3</t>
  </si>
  <si>
    <t>2.1.34.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</si>
  <si>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</si>
  <si>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2.1.22.</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</si>
  <si>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t>
  </si>
  <si>
    <t>0105</t>
  </si>
  <si>
    <t>2.1.25.</t>
  </si>
  <si>
    <t>2.1.12.</t>
  </si>
  <si>
    <t>2.1.28.</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</si>
  <si>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</si>
  <si>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</si>
  <si>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</si>
  <si>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2.1.27.</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</si>
  <si>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</si>
  <si>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</si>
  <si>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Расходы на осуществление казначейского исполнения бюджета</t>
  </si>
  <si>
    <t>Решение Думы Колпашевского района от 14.09.2005 № 401 "О расходах на осуществление казначейского исполнения бюджета муниципального образования "Колпашевский район" (в редакции от 29.06.06 № 164)</t>
  </si>
  <si>
    <t xml:space="preserve">Решение Думы Колпашевского района от 20.06.2008 № 490 "О порядке расходования средств субсидии из резервного фонда финансирования непредвиденных расходов Администрации Томской области на приобретение книг для библиотек сельских поселений" </t>
  </si>
  <si>
    <t>2.2.</t>
  </si>
  <si>
    <t>ст. 1-3</t>
  </si>
  <si>
    <t>ст. 1-2</t>
  </si>
  <si>
    <t>Компенсация расходов на приобретение книгоиздательской продукции и периодических изданий педагогическим и руководящим работникам муниципальных образовательных учреждений Колпашевского района</t>
  </si>
  <si>
    <t>2008 год</t>
  </si>
  <si>
    <t>0107</t>
  </si>
  <si>
    <t>0502</t>
  </si>
  <si>
    <t>0408</t>
  </si>
  <si>
    <t>0902</t>
  </si>
  <si>
    <t>0707</t>
  </si>
  <si>
    <t>0309</t>
  </si>
  <si>
    <t>0405</t>
  </si>
  <si>
    <t>25.03.2008-31.12.2008</t>
  </si>
  <si>
    <t>Расходы, связанные с организацией операций с муниципальным имуществом</t>
  </si>
  <si>
    <t>02.09.2004, не установлен</t>
  </si>
  <si>
    <t>ст.15.1, п.2</t>
  </si>
  <si>
    <t>Код  бюджетной классификации (Рз, Прз)</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</si>
  <si>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t>
  </si>
  <si>
    <t>Решение Думы Колпашевского района  от 10.12.2008 № 578" О бюджете муниципального образования "Колпашевский район" на 2009 год"  проект постановления  Главы Колпашевского района  "О порядке предоставления субсидии МО "Колпашевское городское поселение" на создание  условий для управления  многоквартирными домами"</t>
  </si>
  <si>
    <t>01.07.2007, не установлен</t>
  </si>
  <si>
    <t>Расходы на сопровождение сайта по ведению реестра закупок, реестра контрактов, а также осуществление функций по размещению заказа путем проведения торгов</t>
  </si>
  <si>
    <t>ст. 4</t>
  </si>
  <si>
    <t>Справочно: субсидии, выделенные поселениям Колпашевского района из бюджета МО "Колпашевский район", отражаемые в расходных обязательствах поселений Колпашевского района</t>
  </si>
  <si>
    <t xml:space="preserve">Закон Томской области от 14 августа 2007 г. N 170-ОЗ "О межбюджетных отношениях в Томской области" </t>
  </si>
  <si>
    <t>ст. 15</t>
  </si>
  <si>
    <t>01.01.2008 - 31.12.2008</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</si>
  <si>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</si>
  <si>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п. 7-9 Положения</t>
  </si>
  <si>
    <t>ст. 55</t>
  </si>
  <si>
    <t>ст. 35</t>
  </si>
  <si>
    <t>01.01.2002, не установлен</t>
  </si>
  <si>
    <t>п. 2-3 Положения</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</si>
  <si>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t>
  </si>
  <si>
    <t>п. 4-6 Положения</t>
  </si>
  <si>
    <t>Иные межбюджетные трансферты на строительство газовой котельной по адресу г. Колпашево, ул. Крылова 9/2</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</si>
  <si>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</si>
  <si>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</si>
  <si>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Федеральный закон от 12 июня 2002 г. N 67-ФЗ "Об основных гарантиях избирательных прав и права на участие в референдуме граждан Российской Федерации"</t>
  </si>
  <si>
    <t>Гл.4</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</si>
  <si>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</si>
  <si>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Расходы за счет средств субсидии из резервного фонда финансирования непредвиденных расходов Администрации Томской области в соответствии с распоряжением Администрации Томской области  от 23.05.08 № 12-р-в</t>
  </si>
  <si>
    <t>0801</t>
  </si>
  <si>
    <t>Расходы на развитие общественных инициатив</t>
  </si>
  <si>
    <t>2.3.</t>
  </si>
  <si>
    <t>Решение Думы Колпашевского района от 10.12.05 № 30 "Об утверждении Положения о порядке назначения, выплаты денежной компенсации на приобретение книгоиздательской продукции и периодических изданий педагогическим и руководящим работникам муниципальных образований"</t>
  </si>
  <si>
    <t>01.01.2010. не установлен</t>
  </si>
  <si>
    <t xml:space="preserve">Закон Томской области от 12 ноября 2001 г. N 119-ОЗ "Об образовании в Томской области" </t>
  </si>
  <si>
    <t>01.01.2010-31.12.2012</t>
  </si>
  <si>
    <t>п.4-5</t>
  </si>
  <si>
    <t>Мероприятия в области сельскохозяйственного производства</t>
  </si>
  <si>
    <t xml:space="preserve">п. 2-5 Положения,      </t>
  </si>
  <si>
    <t>30.03.2007, не установлен</t>
  </si>
  <si>
    <t>ст. 17</t>
  </si>
  <si>
    <t>участие в предупреждении и ликвидации последствий чрезвычайных ситуаций на территории муниципального района</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</si>
  <si>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t>
  </si>
  <si>
    <t>2.1.5.</t>
  </si>
  <si>
    <t>Решение думы Колпашевского района от 21.09.2009 № 701 "Об использовании средств местного бюджета на компенсацию транспортных расходов обучающихся в МОУ "Мараксинская ООШ" муниципального образования "Колпашевский район"</t>
  </si>
  <si>
    <t>21.09.2009, не установлен</t>
  </si>
  <si>
    <t>п.1                           п.1</t>
  </si>
  <si>
    <t>Расходы для финансового обеспечения переданных полномочий по составлению (изменению и дополнению) списков кандидатов в присяжные заседатели федеральных судов общей юрисдикции в РФ</t>
  </si>
  <si>
    <t>27.08.2010-31.12.2011</t>
  </si>
  <si>
    <t>содержание на территории муниципального района межпоселенческих мест захоронения, организация ритуальных услуг</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</si>
  <si>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</si>
  <si>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</si>
  <si>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0114</t>
  </si>
  <si>
    <t>п. 1</t>
  </si>
  <si>
    <t>01.01.2005, не установлен</t>
  </si>
  <si>
    <t>01.07.2010, до окнчания срока действия ЗТО от 28.12.2007 № 298-ОЗ</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</si>
  <si>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t>
  </si>
  <si>
    <t>16.10.2003, не утановлен</t>
  </si>
  <si>
    <t>Расходы на содержание аппарата Администрации Колпашевского района</t>
  </si>
  <si>
    <t>0104</t>
  </si>
  <si>
    <t>п. 1-4</t>
  </si>
  <si>
    <t>01.01.2008, вводиться ежегодно ЗТО "Об областном бюджете на очередной финансовый год"</t>
  </si>
  <si>
    <t>ст. 3,6</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</si>
  <si>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</si>
  <si>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 8</t>
  </si>
  <si>
    <t>27.12.1998, не установлен</t>
  </si>
  <si>
    <t>1004</t>
  </si>
  <si>
    <t>п.2-4 Положения             п.1</t>
  </si>
  <si>
    <t>01.01.2006, не установлен            01.01.2009, не установлен</t>
  </si>
  <si>
    <t>2.1.9.</t>
  </si>
  <si>
    <t>п. 4-7</t>
  </si>
  <si>
    <t>вводиться в действие ежегодно</t>
  </si>
  <si>
    <t>ст. 11, п. 1</t>
  </si>
  <si>
    <t>п.1-6</t>
  </si>
  <si>
    <t>Наименование вопроса местного значения, расходного обязательства</t>
  </si>
  <si>
    <t>установление, изменение и отмена местных налогов и сборов муниципального района</t>
  </si>
  <si>
    <t>организация утилизации и переработки бытовых и промышленных отходов</t>
  </si>
  <si>
    <t>2.1.32.</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</si>
  <si>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</si>
  <si>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01.07.2010- до окончания срока действия ЗТО от 07.07.2009 № 104-ОЗ</t>
  </si>
  <si>
    <t>План</t>
  </si>
  <si>
    <t>Исполнение</t>
  </si>
  <si>
    <t>ИТОГО расходные обязательствам муниципальных районов</t>
  </si>
  <si>
    <t xml:space="preserve">01.07.2010, до окончания срока действия ЗТО от 11.09.2007 № 188-ОЗ </t>
  </si>
  <si>
    <t>Расходы на организацию отдыха детей в каникулярное время за счёт средств субсидии из областного бюджета</t>
  </si>
  <si>
    <t>Организация предоставления дошкольного образования</t>
  </si>
  <si>
    <t>0701</t>
  </si>
  <si>
    <t>01.01.2008-31.12.2008</t>
  </si>
  <si>
    <t>0412</t>
  </si>
  <si>
    <t>01.01.2002, не указан</t>
  </si>
  <si>
    <t>фактически исполнено</t>
  </si>
  <si>
    <t>гр.0</t>
  </si>
  <si>
    <t>гр.2</t>
  </si>
  <si>
    <t xml:space="preserve">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t>
  </si>
  <si>
    <t>Номер статьи, части, пункта, подпункта, абзаца</t>
  </si>
  <si>
    <t>Дата вступления в силу и срок действия</t>
  </si>
  <si>
    <t>запланировано</t>
  </si>
  <si>
    <t>финансирование расходов на содержание органов местного самоуправления муниципальных районов</t>
  </si>
  <si>
    <t>2.1.17.</t>
  </si>
  <si>
    <t>2.1.15.</t>
  </si>
  <si>
    <t>финансирование муниципальных учреждений</t>
  </si>
  <si>
    <t>2.1.38.</t>
  </si>
  <si>
    <t>п. 3-4 Положения</t>
  </si>
  <si>
    <t>Трудовой кодекс РФ</t>
  </si>
  <si>
    <t>ст. 325,326</t>
  </si>
  <si>
    <t>ст. 33</t>
  </si>
  <si>
    <t>01.02.2002, не установлен</t>
  </si>
  <si>
    <t>14.07.2006, не установлен</t>
  </si>
  <si>
    <t>Решение Думы Колпашевского района  от 08.02.2006 № 79 "О порядке использования субвенции на выплату педагогическим работникам вознаграждения за выполнение функции классного руководителя (в редакции от 28.04.06 № 137; от 29.11.06 № 223; от  29.06.07  № 332, от 28.01.2008 № 423, от 28.01.2010 № 785)</t>
  </si>
  <si>
    <t>01.01.2006, до окончания срока действия ЗТО от 27.01.2006 № 3-ОЗ</t>
  </si>
  <si>
    <t xml:space="preserve">Субвенция на осуществление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</si>
  <si>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2012 год</t>
  </si>
  <si>
    <t>2.1.13.</t>
  </si>
  <si>
    <t>п.1</t>
  </si>
  <si>
    <t>ст. 9-13</t>
  </si>
  <si>
    <t>0409</t>
  </si>
  <si>
    <t xml:space="preserve">Закон Томской области от 11 сентября 2007 г. N 198-ОЗ "О муниципальной службе в Томской области" </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</si>
  <si>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</si>
  <si>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</si>
  <si>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 xml:space="preserve">Районный фонд финансовой поддержки поселений в части собственных средств </t>
  </si>
  <si>
    <t xml:space="preserve">28.04.2008, не установлен </t>
  </si>
  <si>
    <t>06.03.2006, не установлен</t>
  </si>
  <si>
    <t>0903</t>
  </si>
  <si>
    <t>0904</t>
  </si>
  <si>
    <t xml:space="preserve">Расходы на реализацию районной целевой программы  "Поддержка и развитие малого и среднего предпринимательства  в МО "Колпашевский район"на 2008-2012 годы" </t>
  </si>
  <si>
    <t>Расходы на осуществление государственных полномочий по обеспечению жилыми помещениями детей - сирот и детей, оставшихся без попечения родителей, а также лиц из их числа, не имеющих закрепленного жилого помещения, за счет средств субвенции из областного бюджета</t>
  </si>
  <si>
    <t>Предупреждение и ликвидация последствий чрезвычайных ситуаций и стихийных бедствий природного и техногенного характера</t>
  </si>
  <si>
    <t>Подготовка населения и организация к действиям в чрезвычайной ситуации в мирное и военное время</t>
  </si>
  <si>
    <t>Расходы на обеспечение условий для развития физической культуры и массового спорта, за счет субсидии из областного бюджета</t>
  </si>
  <si>
    <t>Расходы на выплату вознаграждения гражданам, удостоенным звания "Человек года" на территории МО "Колпашевский район"</t>
  </si>
  <si>
    <t>ИТОГО</t>
  </si>
  <si>
    <t>Расходы на выплату вознаграждения гражданам, удостоенным звания "Почетный житель Колпашевского района"</t>
  </si>
  <si>
    <t>опека и попечительство**</t>
  </si>
  <si>
    <t>15.05.2008-31.12.2012</t>
  </si>
  <si>
    <t>23.05.2008-31.12.2008</t>
  </si>
  <si>
    <t xml:space="preserve">Закон Томской области от 14 мая 2005 г. N 78-ОЗ "О гарантиях и компенсациях за счет средств областного бюджета для лиц, проживающих в местностях, приравненных к районам Крайнего Севера" </t>
  </si>
  <si>
    <t>п 4.1 - 6.1 Положения</t>
  </si>
  <si>
    <t>Расходы на ремонт муниципальных объектов социальной сферы, закреплённых на праве оперативного управления за муниципальными учреждениями культуры, здравоохранения, образования, за счёт средств местного бюджета</t>
  </si>
  <si>
    <t>Закон РФ от 10 июля 1992 г. N 3266-1 "Об образовании"</t>
  </si>
  <si>
    <t>ст. 51</t>
  </si>
  <si>
    <t>10.07.1992, не установлен</t>
  </si>
  <si>
    <t>Гл.3, ст.15, п.1, п.п.11</t>
  </si>
  <si>
    <t>2.1.3.</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</si>
  <si>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</si>
  <si>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ст. 4-5</t>
  </si>
  <si>
    <t>30.06.1999, не установлен</t>
  </si>
  <si>
    <t>Расходы на организацию проведения районных мероприятий в сфере образования</t>
  </si>
  <si>
    <t>01.07.2010, до окончания срока действия ЗТО от 24.11.2009 № 261-ОЗ</t>
  </si>
  <si>
    <t>Расходы на осуществление отдельных государственных полномочий по подготовке проведения статистических переписей</t>
  </si>
  <si>
    <t>Расходы на предоставлении субсидии на компенсацию разницы в тарифах на население по утилизации (захоронению) твёрдых бытовых отходов на полигоне г.Колпашево, с.Тогур</t>
  </si>
  <si>
    <t>2.</t>
  </si>
  <si>
    <t>Расходные обязательства муниципальных районов</t>
  </si>
  <si>
    <t>2.1.11.</t>
  </si>
  <si>
    <t>организация в границах муниципального района электро- и газоснабжения поселений</t>
  </si>
  <si>
    <t>Расходы на содержание аппарата УФЭП</t>
  </si>
  <si>
    <t>0106</t>
  </si>
  <si>
    <t>Резервный фонд местной администрации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</si>
  <si>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</si>
  <si>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Решение Думы Колпашевского района от 28.12.2005 № 50 "Об утверждении Положения о муниципальном архиве Колпашевского района"</t>
  </si>
  <si>
    <t>2.1.16.</t>
  </si>
  <si>
    <t>организация охраны общественного порядка на территории муниципального района муниципальной милицией</t>
  </si>
  <si>
    <t>2.1.21.</t>
  </si>
  <si>
    <t>01.07.2010, до окончания срока действия ЗТО от 29.12.2005 № 248-ОЗ</t>
  </si>
  <si>
    <t xml:space="preserve">01.07.2010- до окончания срока действия ЗТО от 15.12.2004 № 246-ОЗ </t>
  </si>
  <si>
    <t>01.08.2009, не установлен</t>
  </si>
  <si>
    <t>Осуществление деятельности и обеспечение руководства в сфере образования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</si>
  <si>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</si>
  <si>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Расходы на содержание Думы Колпашевского района</t>
  </si>
  <si>
    <t>0103</t>
  </si>
  <si>
    <t>0406</t>
  </si>
  <si>
    <t>1003</t>
  </si>
  <si>
    <t>01.06.2006, не установлен</t>
  </si>
  <si>
    <t>Решение Думы Колпашевского района от 26.12.2008 № 412 "Об утверждении Положения о порядке проведения районного конкурса "Развитие общественных инициатив на территории Колпашевского района на 2008 год (в редакции от 27.10.2008 №553)</t>
  </si>
  <si>
    <t>п.1-4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</si>
  <si>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</si>
  <si>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Гл. 4, ст. 11, п.1-2 Положения</t>
  </si>
  <si>
    <t>Расходы на приобретение музыкальных инструментов для муниципальных образовательных учреждений дополнительного образования детей на 2011 год, за счет средств субсидии из областного бюджета</t>
  </si>
  <si>
    <t>Расходы на реализацию долгосрочной целевой программы "Здоровый ребенок" на 2011-2013 годы"</t>
  </si>
  <si>
    <t>Расходы на обслуживание навигационным ограждением судового хода пассажирских линий</t>
  </si>
  <si>
    <t>0113</t>
  </si>
  <si>
    <t>0111</t>
  </si>
  <si>
    <t>Районный фонд финансовой поддержки поселений в части исполнения государственных полномочий по расчету и предоставлению дотаций поселениям</t>
  </si>
  <si>
    <t>Иные межбюджетные трансферты на дорожную деятельность в отношении автомобильных дорог местного значения, а также осуществления иных полномочий  в области использования автомобильных дорог  и осуществление дорожной деятельности в соответствии с законодательством РФ, за счёт средств субсидии из областного бюджета</t>
  </si>
  <si>
    <t>Иные межбюджетные трансферты  на компенсацию расходов  по организации теплоснабжения энергоснабжающими организациями, использующими в качестве топлива нефть или мазут за счет средств субсидии</t>
  </si>
  <si>
    <t>Иные межбюджетные трансферты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 за счет средств субсидии</t>
  </si>
  <si>
    <t>Иные межбюджетные трансферты на обеспечение условий для развития физической культуры и массового спорта за счет средств субсидии</t>
  </si>
  <si>
    <t>Иные межбюджетные трансферты на компенсацию расходов по организации электроснабжения от дизельных электростанций за счет средств субсидии</t>
  </si>
  <si>
    <t>Иные межбюджетные трансферты на создание условий для управления многоквартирными домами  за счет средств субсидии</t>
  </si>
  <si>
    <t>Расходы на реализацию долгосрочной целевой программы "Профилактика правонарушений на территории МО "Колпашевский район" на 2010-2012</t>
  </si>
  <si>
    <t>Расходы на реализацию долгосрочной целевой программы "Предоставление молодым семьям государственной поддержки на приобретение (строительство) жилья на территории Колпашевского района на 2011-2015 годы"</t>
  </si>
  <si>
    <t>Расходы на реализацию программы "Профилактика детского дорожно - транспортного травматизма на территории Томской области в 2010 - 2011 годах" за счет субсидии из областного бюджета</t>
  </si>
  <si>
    <t>1401</t>
  </si>
  <si>
    <t xml:space="preserve">Расзходы на оплату потребления бюджетными учреждениями Колпашевского района электроэнергии, вырабатываемой дизельными электростанциями, по тарифам, свыше тарифов, установленных для централизованного электроснабжения </t>
  </si>
  <si>
    <t>Расходы на осуществление отдельных государственных полномочий по воспитанию и обучению детей -инвалидов в муниципальных дошкольных образовательных учреждениях за счет средств субвенции из областного бюджета</t>
  </si>
  <si>
    <t>ИМБТ на реализацию мероприятий программы "Чистое Колпашевское городское поселение" в части сбора и вывоза твердых бытовых отходов"</t>
  </si>
  <si>
    <t>Расходы на проведение работ по эксплуатации гидротехнических сооружений</t>
  </si>
  <si>
    <t>Решение думы Колпашевского района от 06.03.2006 № 118 "Об утверждении органа, уполномоченного на осуществление функций по размещению заказов для муниципальных заказчиков, органа, уполномоченного на осуществление контроля в сфере размещения муниципальных заказов, органа,  уполномоченного на ведение реестра муниципальных контрактов и Положения о порядке взаимодействия органа, уполномоченного на осуществление функций по размещению заказов для муниципальных заказчиков муниципального образования "Колпашевский район" и муниципальных заказчиков" (в редакции от 25.12.2009 № 763)</t>
  </si>
  <si>
    <t>Расходы на осуществление отдельных государственных полномочий по созданию и обеспечению деятельности комиссии по делам несовершеннолетних и защите их  прав, за счет средств субвенции из областного бюджета</t>
  </si>
  <si>
    <t>Расходы на осуществление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районнов Крайнего Севера и приравненных к ним местностей, за счет средств субвенции из областного бюджета</t>
  </si>
  <si>
    <t>01.07.2010, до окончания действия ЗТО от 08.09.2009 № 173-ОЗ</t>
  </si>
  <si>
    <t>Расходы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</si>
  <si>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01.07.2010, до окончания действия ЗТО от 14.10.2005 № 191-ОЗ</t>
  </si>
  <si>
    <t>Расходы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за счет средств субвенции из областного бюджета</t>
  </si>
  <si>
    <t>Расходы на осуществление отдельных государственных полномочий на обеспечение одеждой, обувью, мягким инвентарем, оборудованием и единовременным денежным пособием детей -сирот и детей, оставшихся без попечения родителей,  а также лиц из числа детей- 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т.д., за счет средств субвенции из областного бюджета</t>
  </si>
  <si>
    <t>Расходы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 за счет средств субвенции из областого бюджета</t>
  </si>
  <si>
    <t>01.07.2010, до окончания срока действия ЗТО от 10.11.2006 № 261-ОЗ</t>
  </si>
  <si>
    <t>Расходы на осуществление отдельных государственных полномочий по организации и осуществлению деятельности по опеке и попечительчтву в Томской области, за счет средств субвенции из областного бюджета</t>
  </si>
  <si>
    <t>п.1.3.</t>
  </si>
  <si>
    <t>Расходы на осуществление отдельных государственных полномочий по осуществлении денежных выплат медецинскому персоналу фельдшерско - акушерских пунктов, врачам, фельдшерам и медецинским сестрам учреждений и подразделений скорой медецинской помощи за счет средств субвенции из областного бюджета</t>
  </si>
  <si>
    <t>Расходы на осуществление отдельных государственных полномочий по созданию и обеспечению деятельности административных комиссий в Томской области за счет средств субвенций из областного бюджета</t>
  </si>
  <si>
    <t>Расходы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за счет средств субвенции из областного бюджета</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</si>
  <si>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МОУ</t>
  </si>
  <si>
    <t>Расходы на выплату доплат к ежемесячному вознаграждению за выполнение функций классного руководителя педагогическим работникам МОУ Томской области в классах с наполняемостью свыше 25 человек, за счет средств субвенции из областного бюджета</t>
  </si>
  <si>
    <t>Расходы на выплату ежемесячного вознаграждения за выполнение функций классного руководителя педагогическим работникам МОУ, за счет средств субвенции из федерального бюджета</t>
  </si>
  <si>
    <t>01.07.2010 - до окончания срока действия ЗТО от 29.12.2007 № 320-ОЗ</t>
  </si>
  <si>
    <t>13.07.2010, не установлен</t>
  </si>
  <si>
    <t>Содержание автомобильных дорог общего пользования</t>
  </si>
  <si>
    <t>срок дейстия</t>
  </si>
  <si>
    <t>гр.18</t>
  </si>
  <si>
    <t>п.14</t>
  </si>
  <si>
    <t>п.4</t>
  </si>
  <si>
    <t>01.01.2011- 31.12.2015</t>
  </si>
  <si>
    <t>Постановление Администрации Колпашевского района от 14.10.2010 № 1289 "Об утверждении долгосрочной целевой программы "Здоровый ребенок" на 2011 - 2013 годы"</t>
  </si>
  <si>
    <t>01.01.2011- 31.12.2013</t>
  </si>
  <si>
    <t>Решение Думы Колпашевского района от 18.06.2009 № 668 "Об утверждении Положения об организации и осуществлении мероприятий по гражданской обороне в Колпашевском районе"</t>
  </si>
  <si>
    <t>п.18 Положения</t>
  </si>
  <si>
    <t>18.06.2009- не установлен</t>
  </si>
  <si>
    <t>Решение Думы Колпашевского района от 27.02.2007 № 297 "Об утверждении Положения о формировании, пополнении и учете районного страхового (аварийного) запаса материально-технических ресурсов для предприятий ЖКХ Колпашевского района"</t>
  </si>
  <si>
    <t>п.3 Положения</t>
  </si>
  <si>
    <t>27.02.2007- не установлен</t>
  </si>
  <si>
    <t>п.8.2.1</t>
  </si>
  <si>
    <t>01.08.2006- не ограничен</t>
  </si>
  <si>
    <t>Расходы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t>
  </si>
  <si>
    <t>Решение Думы Колпашевского района от 26.12.2008 № 586 "О порядке расходования бюджетных ассигнований, выделенных бюджету МО "Колпашевский район" из резервного фонда финансирования непредвиденных расходов Администрации ТО по ликвидации последствий стихийных бедствий и других черезвычайных ситуаций"</t>
  </si>
  <si>
    <t>Расходы в соответствии с распоряжением Администрации ТО от 20.12.2010 № 1120-ра (приобретение дизель-генератора с целью предупреждения черезвычайной ситуации на объектах теплоснабжения)</t>
  </si>
  <si>
    <t>2.3.1.</t>
  </si>
  <si>
    <t>2.3.2.</t>
  </si>
  <si>
    <t>2.3.3.</t>
  </si>
  <si>
    <t>Расходы на осуществление отдельных государственных полномочий по назначению и выплате единовременного пособия при передаче ребенка на воспитание в семью</t>
  </si>
  <si>
    <t>2.3.4.</t>
  </si>
  <si>
    <t>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учреждениях</t>
  </si>
  <si>
    <t>2.3.5.</t>
  </si>
  <si>
    <t>2.3.6.</t>
  </si>
  <si>
    <t>осуществление ежемесячной выплаты денежных средств приемным семьям на содержание детей и осуществление ежемесячной оплаты труда приемных родителей</t>
  </si>
  <si>
    <t>2.3.7.</t>
  </si>
  <si>
    <t>2.3.8.</t>
  </si>
  <si>
    <t>2.3.9.</t>
  </si>
  <si>
    <t>2.3.10.</t>
  </si>
  <si>
    <t>2.3.11.</t>
  </si>
  <si>
    <t>2.3.12.</t>
  </si>
  <si>
    <t>2.3.13.</t>
  </si>
  <si>
    <t>2.3.14.</t>
  </si>
  <si>
    <t>Выплата гражданам адресных субсидий на оплату жилья и коммунальных услуг</t>
  </si>
  <si>
    <t>2.3.15.</t>
  </si>
  <si>
    <t>2.3.16.</t>
  </si>
  <si>
    <t>Обеспечение предоставления субсидий гражданам на оплату жилого помещения и коммунальных услуг</t>
  </si>
  <si>
    <t>2.3.17.</t>
  </si>
  <si>
    <t>Предоставление субсидий на уплату части процентной ставки по кредитам, привлекаемым гражданами РФ, постоянно проживающими в Томской области, в российских кредитных организациях на газификацию (модернизацию системы отопления) принадлежащего им на праве собственности частного жилищного фонда</t>
  </si>
  <si>
    <t>2.3.18.</t>
  </si>
  <si>
    <t>Расчет и предоставление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t>
  </si>
  <si>
    <t>2.3.19.</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</si>
  <si>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</si>
  <si>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2.3.20.</t>
  </si>
  <si>
    <t>Предоставление гражданам субсидий на оплату жилого помещения и коммунальных услуг</t>
  </si>
  <si>
    <t>2.3.21.</t>
  </si>
  <si>
    <t>2.3.22.</t>
  </si>
  <si>
    <t>2.3.25.</t>
  </si>
  <si>
    <t>2.3.26.</t>
  </si>
  <si>
    <t>2.3.27.</t>
  </si>
  <si>
    <t>2.3.28.</t>
  </si>
  <si>
    <t>2.3.29.</t>
  </si>
  <si>
    <t>предоставление субсидий на поддержку экономически значимой региональной программы развития молочного скотоводства</t>
  </si>
  <si>
    <t>предоставление субсидий на возмещение гражданам, ведущим личное подсобное хозяйство, затрат по искусственному осеменению коров</t>
  </si>
  <si>
    <t>предоставление субсидий на возмещение затрат по внесению органических удобрений</t>
  </si>
  <si>
    <t>на осуществление управленческих функций органами местного самоуправления</t>
  </si>
  <si>
    <t>предоставление субсидий на возмещение гражданам, ведущим личное подсобное хозяйство, с/х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с/х кредитных потребительских кооперативах в 2005-2010 годах на срок до 8 лет</t>
  </si>
  <si>
    <t>расходы на содержание единой дежурно-диспетчерской службы</t>
  </si>
  <si>
    <t>Гл. 1-2 Положения</t>
  </si>
  <si>
    <t xml:space="preserve">п.1 </t>
  </si>
  <si>
    <t>01.01.2011-31.12.2011</t>
  </si>
  <si>
    <t>Постановление Администрации Колпашевского района от 25.01.2011 № 23 "О порядке расходования средств бюджетных ассигнований, выделенных за счет средств резервного фонда финансирования непредвиденных расходов Администрации Томской области бюджету муниципального образования "Колпашевский район", на приобретение передвижной электростанции в утепленном блок-контейнере на автомобильном шасси"</t>
  </si>
  <si>
    <t>25.01.2011- 15.03.2011</t>
  </si>
  <si>
    <t>Постановление Администрации Колпашевского района от 18.02.2011 № 125 "О применении понижающих коэффициентов к нормативным расходам финансирования общеобразовательных учреждений"</t>
  </si>
  <si>
    <t>01.05.2011- 31.12.2011</t>
  </si>
  <si>
    <t>01.01.2011, не установлен</t>
  </si>
  <si>
    <t>Расходы на реализацию долгосрочной целевой программы "Медецинские кадры"  на 2011 - 2013 годы</t>
  </si>
  <si>
    <t>Иные межбюджетные трансферты на проведение торжественных мероприятий, приуроченных ко Дню Защитника Отечества к Международному женскому дню</t>
  </si>
  <si>
    <t>Иные межбюджетные трансферты на оснащение вертолетной площадки</t>
  </si>
  <si>
    <t>Иные межбюджетные трансферты на оплату расходов тепловой энергии МУ "Инкинский СКДЦ"</t>
  </si>
  <si>
    <t>Иные межбюджетные трансферты на приобретение и установку приборов учета воды и тепла в административном здании Администрации поселения</t>
  </si>
  <si>
    <t>Иные межбюджетные трансферты на расходы, связанные с благоустройством поселения</t>
  </si>
  <si>
    <t>Иные межбюджетные трансферты на дорожную деятельность в отношении автомобильных дорог местного значения</t>
  </si>
  <si>
    <t>Иные межбюджетные трансферты на ремонт двух павильонов у водопроводных башен</t>
  </si>
  <si>
    <t>Иные межбюджетные трансферты на реализацию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t>
  </si>
  <si>
    <t>Иные межбюджетные трансферты на реализацию мероприятий по организации уличного освещения</t>
  </si>
  <si>
    <t>Иные межбюджетные трансферты на приобретение сетей теплоснабжения для газовых котельных г. Колпашево и с. Тогур</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</si>
  <si>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от 23.08.2010 № 914, от 24.12.2010 № 32, от 18.03.2011 № 21)</t>
  </si>
  <si>
    <t>Решенин Думы Колпашевского района от 14.07.2006 № 181 "Об утверждении Положения об организации работ по содержанию и ремонту, автомобильных дорог общего пользования между населенными пунктами и дорожных сооружений вне границ населенных пунктов в границах МО "Колпашевский район" (в редакции от 17.07.2008 № 501, от 29.09.2010 № 919)</t>
  </si>
  <si>
    <t>Гл. 2-6 Положения</t>
  </si>
  <si>
    <t>01.08.2006, не установлен</t>
  </si>
  <si>
    <t>25.01.2011- 31.12.2011</t>
  </si>
  <si>
    <t>Расходы на предоставление субсидии на возмещение недополученных доходов, связвнных с предоставлением льготных услуг по перевозке речным транспортом населения</t>
  </si>
  <si>
    <t>18.03.2011- 31.12.2011</t>
  </si>
  <si>
    <t>Решение Думы Колпашевского района от 13.07.2010 № 875 "Об утвержлении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 от 18.03.2011 № 21)</t>
  </si>
  <si>
    <t>Решение Думы Колпашевского района от 13.07.2010 № 875 "Об утверждении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 от 18.03.2011 № 21)</t>
  </si>
  <si>
    <t>Решение Думы Колпашевского района от 18.03.2011 № 28 "О применении в 2011 году коэффициентов к тарифам для населения по утилизации (захоронению) твёрдых бытовых отходов на полигонах г. Колпашево и с. Тогур"</t>
  </si>
  <si>
    <t>01.01.2011- 31.12.2011</t>
  </si>
  <si>
    <t>Постановление Администрации Колпашевского района от 21.03.2011 № 237 "О порядке и условиях предоставления субсидии на компенсацию разницы в тарифах для населения по утилизации (захоронению) твёрдых бытовых отходов на полигоне г. Колпашево и с. Тогур</t>
  </si>
  <si>
    <t>п. 1-6</t>
  </si>
  <si>
    <t>п.1-5</t>
  </si>
  <si>
    <t>Решение Думы Колпашевского района от 18.03.2011 № 20 "О порядке использования средств субсидии из областного бюджета на финансирование расходов, связанных с обеспечением условий для развития физической культуры и массового спорта на территории муниципального образования "Колпашевский район"</t>
  </si>
  <si>
    <t>п.1-7</t>
  </si>
  <si>
    <t>п.1.3</t>
  </si>
  <si>
    <t>2013 год</t>
  </si>
  <si>
    <t xml:space="preserve">16.10.2003, не установлен </t>
  </si>
  <si>
    <t>Федеральный Закон от 12.01.1996 № 7-ФЗ "О некоммерческих организациях"</t>
  </si>
  <si>
    <t>24.01.1996, не установлен</t>
  </si>
  <si>
    <t>Федеральный Закон от 21.07.2005 № 94-ФЗ "О размещении заказов на поставки товаров, выполнение работ, оказание услуг для государственных и муниципальных нужд"</t>
  </si>
  <si>
    <t>ст. 4 часть 2, ст.17, 18</t>
  </si>
  <si>
    <t>Постановление Администрации Томской области от 13 мая 2010 г. N 94а "О Порядке предоставления из областного бюджета субсидий бюджетам муниципальных образований Томской области и их расходования"</t>
  </si>
  <si>
    <t>п.2 п.п3, п.17</t>
  </si>
  <si>
    <t>13.05.2010, не установлен</t>
  </si>
  <si>
    <t>ст.4</t>
  </si>
  <si>
    <t>Федеральный закон от 12.02.1998 N 28-ФЗ "О гражданской обороне"</t>
  </si>
  <si>
    <t>ст.18</t>
  </si>
  <si>
    <t>16.02.1998, не установлен</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</si>
  <si>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</si>
  <si>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ст.10, 11</t>
  </si>
  <si>
    <t>03.12.2005,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</si>
  <si>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</si>
  <si>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17.08.2007, не установлен</t>
  </si>
  <si>
    <t>Распоряжение Администрации Томской области от 16.11.2010 N 990-ра "Об организации обучения населения в области гражданской обороны, защиты от чрезвычайных ситуаций природного и техногенного характера"</t>
  </si>
  <si>
    <t>16.11.2010, не установлен</t>
  </si>
  <si>
    <t>Распоряжение Администрации Томской области от 20.12.2010 № 1120-ра "О выделении бюджетных ассигнований бюджету МО "Колпашевский район"</t>
  </si>
  <si>
    <t>20.12.2010- 15.03.2011</t>
  </si>
  <si>
    <t>ст.31 п. 2,4</t>
  </si>
  <si>
    <t xml:space="preserve">Закон Томской области от 28.12.2010 г. N 327-ОЗ "Об областном бюджете на 2011 год и на плановый период 2012 и 2013 годов" </t>
  </si>
  <si>
    <t>табл. 1 прил.16</t>
  </si>
  <si>
    <t>Постановление Администрации Томской области от 28.01.2011 N 19а "О порядке предоставления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t>
  </si>
  <si>
    <t>10.02.2011, не установлен</t>
  </si>
  <si>
    <t>п.2 п.п.8), п.22</t>
  </si>
  <si>
    <t>ст. 1</t>
  </si>
  <si>
    <t>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t>
  </si>
  <si>
    <t>07.01.2007, не установлен</t>
  </si>
  <si>
    <t>Закон Томской области от 06.04.2009 N 47-ОЗ "О профилактике правонарушений в Томской области"</t>
  </si>
  <si>
    <t xml:space="preserve">Федеральный Закон от 06.10.2003 № 131-ФЗ "Об общих принципах организации местного самоуправления" </t>
  </si>
  <si>
    <t>Гл. 4</t>
  </si>
  <si>
    <t>25.04.2009, не установлен</t>
  </si>
  <si>
    <t>Федеральный закон от 10.12.1995 N 196-ФЗ "О безопасности дорожного движения"</t>
  </si>
  <si>
    <t>Гл. 3, ст. 10</t>
  </si>
  <si>
    <t>11.12.1995, не установлен</t>
  </si>
  <si>
    <t xml:space="preserve">Распоряжение Администрации Томской области от 10.12.2009 № 894-ра "Об утверждении программы "Профилактика детского дорожно-транспортного травматизма на территории Томской области в 2010 - 2011 годах"
</t>
  </si>
  <si>
    <t>10.12.2009- 31.12.2011</t>
  </si>
  <si>
    <t>Ст. 1-2</t>
  </si>
  <si>
    <t>вводится ежегодно ЗТО об областном бюджете на очередной финансовый год</t>
  </si>
  <si>
    <t>Федеральный закон от 22.10.2004 N 125-ФЗ "Об архивном деле в Российской Федерации"</t>
  </si>
  <si>
    <t>ст. 18</t>
  </si>
  <si>
    <t>27.10.2004, не установлен</t>
  </si>
  <si>
    <t>Федеральный закон от 24.06.1999 N 120-ФЗ "Об основах системы профилактики безнадзорности и правонарушений несовершеннолетних"</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</si>
  <si>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</si>
  <si>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</si>
  <si>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</si>
  <si>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</si>
  <si>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</si>
  <si>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</si>
  <si>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</si>
  <si>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Закон Томской области от 29.12.2005 N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</si>
  <si>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</si>
  <si>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Постановление Правительства РФ от 31.12.2010 N 1238 "О порядке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</si>
  <si>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 xml:space="preserve">01.01.2011, не установлен; </t>
  </si>
  <si>
    <t>01.01.2006 - 31.12.2011</t>
  </si>
  <si>
    <t>ст.29 п. 6.1.</t>
  </si>
  <si>
    <t>Закон Томской области от 27.01.2006 N 3-ОЗ "Об условиях и порядке выплаты педагогическим работникам областных государственных и муниципальных образовательных учреждений Томской области вознаграждения за выполнение функций классного руководителя"</t>
  </si>
  <si>
    <t xml:space="preserve">Закон Томской области от 17.12.2007 N 276-ОЗ "О выделении субвенций местным бюджетам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рамках общеобразовательных программ в муниципальных общеобразовательных учреждениях" </t>
  </si>
  <si>
    <t>Федеральный закон от 25.10.2002 № 125-ФЗ "О жилищных субсидиях гражданам, выезжающим из районов Крайнего Севера и приравненных к ним местностей"</t>
  </si>
  <si>
    <t>ст.10</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</si>
  <si>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</si>
  <si>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</si>
  <si>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</si>
  <si>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Федеральный закон от 20.08.2004 N 113-ФЗ "О присяжных заседателях федеральных судов общей юрисдикции в Российской Федерации"</t>
  </si>
  <si>
    <t xml:space="preserve">Закон Томской области от 28.12.2006 N 325-ОЗ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ежегодному изменению и дополнению списков кандидатов в присяжные заседатели федеральных судов общей юрисдикции в Российской Федерации" </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</si>
  <si>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</si>
  <si>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ст.5</t>
  </si>
  <si>
    <t>вводится в действие ежегодно</t>
  </si>
  <si>
    <t>Закон Томской области от 11.01.2007 N 15-ОЗ "Об условиях, размере и порядке осуществления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</si>
  <si>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</si>
  <si>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</si>
  <si>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</si>
  <si>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ст.3</t>
  </si>
  <si>
    <t>ст.1 п.п.5)</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</si>
  <si>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</si>
  <si>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Закон Томской области от 08.09.2009 N 173-ОЗ "О наделении органов местного самоуправления отдельными государственными полномочиями по воспитанию и обучению детей-инвалидов в муниципальных дошкольных образовательных учреждениях"</t>
  </si>
  <si>
    <t>ст. 1-6</t>
  </si>
  <si>
    <t>Федеральный закон от 25 января 2002 г. N 8-ФЗ
"О Всероссийской переписи населения"</t>
  </si>
  <si>
    <t>ст.11</t>
  </si>
  <si>
    <t>29.01.2002, не установлен</t>
  </si>
  <si>
    <t>Закон Томской области от 14.05.2010 N 87-ОЗ "О наделении органов местного самоуправления отдельными гсударственными полномочиями по подготовке и проведению на территории Томской области Всероссийской переписи населения 2010 года"</t>
  </si>
  <si>
    <t>ст.15.1</t>
  </si>
  <si>
    <t>п.2</t>
  </si>
  <si>
    <t>Постановление Правительства РФ от 17.12.2010 N 1050 "О федеральной целевой программе "Жилище" на 2011 - 2015 годы"</t>
  </si>
  <si>
    <t>01.01.2010 -31.12.2015</t>
  </si>
  <si>
    <t>Федеральный закон от 12.01.1996 N 7-ФЗ "О некоммерческих организациях"</t>
  </si>
  <si>
    <t>ст.31</t>
  </si>
  <si>
    <t>25.06.2002, не установлен</t>
  </si>
  <si>
    <t>Постановление Правительства РФ от 30.12.2003 N 794 "О единой государственной системе предупреждения и ликвидации чрезвычайных ситуаций"</t>
  </si>
  <si>
    <t>п.22</t>
  </si>
  <si>
    <t>Федеральный закон от 29 декабря 2006 г. N 264-ФЗ
"О развитии сельского хозяйства"</t>
  </si>
  <si>
    <t>ст.7</t>
  </si>
  <si>
    <t>Кодекс Российской Федерации об административных правонарушениях
от 30 декабря 2001 г. N 195-ФЗ</t>
  </si>
  <si>
    <t>ст.22.1</t>
  </si>
  <si>
    <t>01.07.2002, не установлен</t>
  </si>
  <si>
    <t>Федеральный закон от 24 ноября 1995 г. N 181-ФЗ
"О социальной защите инвалидов в Российской Федерации"</t>
  </si>
  <si>
    <t>01.01.1996, не установлен</t>
  </si>
  <si>
    <t>Решение Думы Колпашевского района от 25.04.2011 № 37 "О порядке использования средств субсидии на компенсацию расходов по организацииэлектроснабжения от дизельных электростанций в муниципальном образовании "Колпашевский район"</t>
  </si>
  <si>
    <t>25.04.2011, не установлен</t>
  </si>
  <si>
    <t>Расходы в соответствии с распоряжением АТО от 28.03.2011 № 14-р-в МДОУ "Чажемтовский детский сад" на приобретение элементов детской игровой площадки</t>
  </si>
  <si>
    <t>Расходы в соответствии с распоряжением АТО от 21.03.2011 № 10-р-в МУ ДОД "ДЮСШ имени О.Рахматулиной" на укрепление спортивной базы</t>
  </si>
  <si>
    <t>Гл.3, ст.16</t>
  </si>
  <si>
    <t>МБТ на стимулирующие выплаты в муниципальных дошкольных общеобразовательных учреждениях</t>
  </si>
  <si>
    <t>Постановление Администрации Томской области от 10.02.2011 № 27а "О порядке предоставления иных межбюджетных трансфертов на стимулирующие выплаты в муниципальных дошкольных дошкольных образовательных учреждениях Томской области"</t>
  </si>
  <si>
    <t>Гл.3, ст.17</t>
  </si>
  <si>
    <t>Субвенция на возмещение возмещение гражданам, ведущим личное подсобное хозяйство, с/х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с/х кредитных потребительских кооперативах в 2005 - 2011 годах на срок до 8 лет</t>
  </si>
  <si>
    <t>Расходы на издание книги "И помнит мир спасенный Колпашевских бойцов"</t>
  </si>
  <si>
    <t>Расходы на проведение ремонта жилых помещений ветеранам ВОВ 1941-1945 гг. тружинникам тыла и другим категориям граждан</t>
  </si>
  <si>
    <t>Расходы в соответствии с распоряжением АТО от 31.01.2011 № 45-ра) на проведение социологических исследований</t>
  </si>
  <si>
    <t>Расходы в соответствии с распоряжением АТО от 28.03.2011 № 14-р-в на приобретение железобетонных конструкций для строительства храма "Церковь Вознесения" в г.Колпашево</t>
  </si>
  <si>
    <t>Иные межбюджетные трансферты в соответствии с распоряжением АТО от 28.03.2011 № 14-р-в на укрепление материально-технической базы ДК с.Озерное</t>
  </si>
  <si>
    <t>Иные межбюджетные трансферты в соответствии с распоряжением АТО от 21.03.2011 № 10-р-в на укрепление материально-технической базы ДК "Рыбник"</t>
  </si>
  <si>
    <t>Иные межбюджетные трансферты на поощрение поселенческих команд, учавствовавших в 4-й межпоселенческой спартакиаде в с.Копыловка</t>
  </si>
  <si>
    <t>Иные межбюджетные трансферты на разработку проекта генерального плана Колпашевского городского поселения Колпашевского района ТО и правил землепользования и застройки</t>
  </si>
  <si>
    <t>Иные межбюджетные трансферты на примирование победителей областного ежегодного конкурса на звание "Самое благоустроенное образование Томской области"</t>
  </si>
  <si>
    <t>20.04.2011- 31.12.2011</t>
  </si>
  <si>
    <t>Решение Думы Колпашевского района от 25.04.2011 № 40 "О порядке использования в 2011 году средств бюджета муниципального образования "Колпашевский район" на издание книги "И помнит мир спасённый Колпашевских бойцов"</t>
  </si>
  <si>
    <t>25.04.2011- 31.12.2011</t>
  </si>
  <si>
    <t>Постановление Администрации Колпашевского района от 10.02.2011 № 100 "О порядке расходования средств субсидии из резервного фонда финансирования непредвиденных расходов Администрации Томской области для проведения социологических исследований"</t>
  </si>
  <si>
    <t>10.02.2011 - 31.03.2011</t>
  </si>
  <si>
    <t>Субсидия на развитие инфраструктуры дошкольного образования</t>
  </si>
  <si>
    <t>п.2 п.п.6</t>
  </si>
  <si>
    <t>Решение Думы Колпашевского района от 20.06.2011 № 59 "О порядке использования средств субсидии  из областного бюджета на развитие инфраструктуры дошкольного образования муниципальных образований Томской области"</t>
  </si>
  <si>
    <t>18.04.2011- 31.12.2011</t>
  </si>
  <si>
    <t>Расходы в соответствии с распоряжением Администрации ТО от 31.05.2011 № 35-р-в МУ ДОД "ДЮСШ имени О.Рахматулиной" на укрепление спортивной базы</t>
  </si>
  <si>
    <t>Распоряжение Администрации Томской области от 31.05.2011 № 35-р-в "О выделении бюджетных ассигнований из резервного фонда финансирования непредвиденных расходов Администрации Томской области"</t>
  </si>
  <si>
    <t>п.1 п.п.7</t>
  </si>
  <si>
    <t>31.05.2011- 31.12.2011</t>
  </si>
  <si>
    <t>Субсидия на оснащение школьных автобусов аппаратурой спутниковой навигации ГЛОНАС</t>
  </si>
  <si>
    <t>п.2 п.п.13</t>
  </si>
  <si>
    <t>Стипендии Губернатора ТО лучшим учителям областных государственных и муниципальных образовательных учреждений ТО в соответствии с порядком, установленным Администрацией ТО</t>
  </si>
  <si>
    <t>Постановление Администрации Томской области от 20.04.2011 № 108а "Об утверждении Порядка предоставления иныхмежбюджетных трансфертов на выплату в 2011 году стипендии Губернатора Томской области лучшим учителям муниципальных образовательных учреждений Томской области"</t>
  </si>
  <si>
    <t>Решение Думы Колпашевского района от 23.05.2011  №  48 "О порядке использования иных межбюджетных трансфертов на выплату в 2011 году стипендии Губернатора Томской области лучшим учителям муниципальных общеобразовательных учреждений Томской области"</t>
  </si>
  <si>
    <t>Постановление Правительства РФ от 3.12.2002 г. N 858 "О федеральной целевой программе "Социальное развитие села до 2013 года"</t>
  </si>
  <si>
    <t>03.12.2002, не установлен</t>
  </si>
  <si>
    <t xml:space="preserve">Закон Томской области от 19.02.2004 N 30-ОЗ "Об утверждении областной целевой программы "Социальное развитие села Томской области до 2012 года" </t>
  </si>
  <si>
    <t>ст.1</t>
  </si>
  <si>
    <t>24.02.2004, не установлен</t>
  </si>
  <si>
    <t>Решение Думы Колпашевского района от 23.05.2011  №  51 "О порядке использования средств бюджета МО «Колпашевский район» на проведение мероприятий по улучшению жилищных условий граждан, проживающих в сельской местности"</t>
  </si>
  <si>
    <t>23.05.2011- 31.12.2011</t>
  </si>
  <si>
    <t>Расходы в соответствии с распоряжением АТО от 20.04.2011 № 22-р-в на приобретение железобетонных конструкций для строительства храма "Церковь Вознесения" в г.Колпашево</t>
  </si>
  <si>
    <t>Постановление Администрации Колпашевского района от 11.05.2011 № 442 "О порядке предоставления субсидии Томскому Региональному Общественному Благотворительному Фонду "Колпашевская церковь Вознесения" на возмещение затрат, связанных со строительством храма "Церковь Вознесения" в г. Колпашево"</t>
  </si>
  <si>
    <t>11.05.2011- 31.12.2011</t>
  </si>
  <si>
    <t>Распоряжение Администрации Томской области от 20.04.2011 N 22-р-в "О выделении бюджетных ассигнований из резервного фонда финансирования непредвиденных расходов Администрации Томской области"</t>
  </si>
  <si>
    <t>Распоряжение Администрации Томской области от 28.03.2011 N 14-р-в "О выделении бюджетных ассигнований из резервного фонда финансирования непредвиденных расходов Администрации Томской области"</t>
  </si>
  <si>
    <t>28.03.2011- 31.12.2011</t>
  </si>
  <si>
    <t>Софинансирование расходов для ремонта и (или) переустройства жилых помещений граждан, не состоящих на учете в качестве нуждающихся в улучшении жилищных условий и не реализовавших свое право на улучшение жилищных условий (в соответствии с распоряжением АТО от 06.05.2011 № 382-ра)</t>
  </si>
  <si>
    <t>Распоряжение Администрации Томской области от 06.05.2011 N 382-ра "О выделении бюджетных ассигнований бюджетам муниципальных образований Томской области"</t>
  </si>
  <si>
    <t>06.05.2011- 31.12.2011</t>
  </si>
  <si>
    <t>Федеральный закон от 12.01.1995 N 5-ФЗ "О ветеранах"</t>
  </si>
  <si>
    <t>ст. 21</t>
  </si>
  <si>
    <t>16.01.1995, не установлен</t>
  </si>
  <si>
    <t>Решение Думы Колпашевского района от 20.06.2011 № 73 "О предоставлении за счет средств бюджета муниципального образования "Колпашевский район" социальной помощи на ремонт и (или) переустройство жилых помещений граждан, не состоящих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2009-2011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</si>
  <si>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20.06.2011- 31.12.2011</t>
  </si>
  <si>
    <t>Иные межбюджетные трансферты для МУ "ЦКД" на приобретение танцевальной обуви для ансамбля русской песни ГДК (в соответствии с распоряжением Администрации ТО от 13.05.2011 № 29-р-в)</t>
  </si>
  <si>
    <t>Иные межбюджетные трансферты для финансового обеспечения работ по устройству противопожарных защитных (минерализированных) полос для защиты с.Копыловка, копыловского сельского поселения, расположенного в 100 метрах от леса (в соответствии с распоряжением Администрации ТО от 04.05.2011 № 365-ра)</t>
  </si>
  <si>
    <t>Иные межбюджетные трансферты на приобретение материалов для ремонта канализационной системы домов по адресу: г.Колпашево, ул. Чапаева, 18/1, 20/1 (в соответствиии с распоряжением АТО от 20.04.2011 № 22-р-в)</t>
  </si>
  <si>
    <t>Иные межбюджетные трансферты на приобретение автомобиля УАЗ 220694 для перевозки пассажиров</t>
  </si>
  <si>
    <t>Иные межбюджетные трансферты на приобретение материалов на ремонт и содержание уличного освещения</t>
  </si>
  <si>
    <t>Иные межбюджетные трансферты на приобретение контейнеров для сбора бытового мусора</t>
  </si>
  <si>
    <t>Иные межбюджетные трансферты на строительство и проведение ремонта объектов спортивной направленности</t>
  </si>
  <si>
    <t>Иные межбюджетные трансферты на выполнение работ по изготовлению проектно-сметной документации с инженерно-геологическими изысканиями</t>
  </si>
  <si>
    <t>Иные межбюджетные трансферты на проведение работ по ремонту и утеплению фасада жилого дома по ул. Коммунистическая 6/1</t>
  </si>
  <si>
    <t>Иные межбюджетные трансферты на подготовку генеральных планов, правил землепользования и застройки поселений и городских округов</t>
  </si>
  <si>
    <t>Расходы в соответствии с распоряжением АТО от 16.05.2011 № 414-ра) на проведение социологических исследований</t>
  </si>
  <si>
    <t>Распоряжение Админстрации Томской области от 31.01.2011 № 45-ра "О выделении бюджетных ассигнований бюджетам муниципальных образований Томской области"</t>
  </si>
  <si>
    <t>31.01.2011- 20.03.2011</t>
  </si>
  <si>
    <t>Распоряжение Админстрации Томской области от 16.05.2011 № 414-ра "О выделении бюджетных ассигнований бюджетам муниципальных образований Томской области"</t>
  </si>
  <si>
    <t>16.05.2011- 31.12.2011</t>
  </si>
  <si>
    <t>Постановление Администрации Колпашевского района от 02.06.2011 № 530 "О порядке расходования средств субсидии из резервного фонда финансирования непредвиденных расходов Администрации Томской области для проведения социологических исследований"</t>
  </si>
  <si>
    <t>02.06.2011 - 31.03.2011</t>
  </si>
  <si>
    <t>МБТ для проведения аварийно-восстановительных работ на автомобильной дороге "Тогур-Север-Дальнее-Куржино-Копыловка" (в соответствии с распоряжением Администрации ТО от 18.07.2011 № 678-ра)</t>
  </si>
  <si>
    <t>МБТ на приобретение жилых помещений для отселения жителей г.Колпашево из опасной зоны обрушающихся берегов р.Оби, проживающих по адресам: г. Колпашево- ул. Дзержинского, дд. 57,67,71,73,75 (в соответствии с рапоряжением Администрации ТО от 30.03.2011 № 247-ра)</t>
  </si>
  <si>
    <t>МБТ на предупреждение черезвычайной ситуации, связанной с переселением жителей домов с обрушающегося берега р.Обь в районе г.Колпашево, ул. Дзержинского, дд. 37,47,49,59,77,79 (в соответствии с рапоряжением Администрации ТО от 18.07.2011 № 675-ра)</t>
  </si>
  <si>
    <t>Решение Думы Колпашевского района от 23.08.2010 № 912 "О порядке расходования средств субсидии из целевого финансового резерва Томской области для предупреждения черезвычайных ситуаций для расселения жителей Колпашевского района из опасной зоны обрушающихся берегов р.Обь согласно списку переселенных жилых домов с обрушающегося берега р.Обь в 2010 году" (в редакции от 06.07.2011 № 79)</t>
  </si>
  <si>
    <t>п.1-8</t>
  </si>
  <si>
    <t>23.08.2010- не установлен</t>
  </si>
  <si>
    <t>Решение Думы Колпашевского района от 29.08.2011 № 107 "О порядке расходования средств иных межбюджетных трансфертов из целевого финансового резерва Томской области для предупреждения черезвычайных ситуаций для расселения жителей Колпашевского района из опасной зоны обрушающихся берегов р.Обь"</t>
  </si>
  <si>
    <t>29.08.2011- 31.12.2011</t>
  </si>
  <si>
    <t>МБТ для МДОУ "Детский сад комбинированного вида № 17" на приобретение элементов детской игровой площадки (в соответствии с распоряжением Администрации ТО от 16.06.2011 № 43-р-в)</t>
  </si>
  <si>
    <t>МБТ по распоряжению Администрации ТО от 02.08.2011 № 58-р-в</t>
  </si>
  <si>
    <t>Постановление Администрации Колпашевского района от 23.08.2011 № 849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</si>
  <si>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23.08.2011- 31.12.2011</t>
  </si>
  <si>
    <t>МБТ МДОУ "Озеренский детский сад" на приобретение малых архитектурных форм для игрового участка (в соответствии с распоряжением Администрации ТО от 29.06.2011 № 48-р-в)</t>
  </si>
  <si>
    <t>Расходы в соответствиии с распоряжением Администрации ТО от 29.06.2011 № 48-р-в МОУ ДОД "Детская школа искусств с. Тогур" на приобретение духовых инструментов и комплектующих к ним</t>
  </si>
  <si>
    <t>Расходы в соответствии с распоряжением Администрации ТО от 29.06.2011 № 48-р-в МОУ "СОШ № 2" на приобретение танцевальных костюмов для хореографического коллектива "Глория"</t>
  </si>
  <si>
    <t>Расходы в соответствии с распоряжением Администрации ТО от 20.07.2011 № 53-р-в МОУ "СОШ № 4" на приобретение и установку спортивной игровой площадки</t>
  </si>
  <si>
    <t>Расходы на укрепление материально- технической базы учреждений здравоохранения в рамках реализации региональной Программы модернизации здравоохранения Томской области на 2011-2012 годы</t>
  </si>
  <si>
    <t>Расходы на обеспечение организации и проведение подготовки и переподготовки медицинских кадров муниципальных учреждений здравоохранения за счет областного бюджета</t>
  </si>
  <si>
    <t>Межбюджетные трансферты по распоряжению Администрации Томской области от 02.08.2011 № 58-р-в</t>
  </si>
  <si>
    <t>Решение Думы Колпашевского района от 29.08.2011 № 88 "Об использовании иных межбюджетных трансыертов на обеспечение организации и проведение подготовки и переподготовки медецинских кадров муниципальных учреждений здравоохранения"</t>
  </si>
  <si>
    <t>29.08.2011, не установлен</t>
  </si>
  <si>
    <t>Постановление Администрации Колпашевского района от 19.08.2011 № 836 "Об утверждении Порядка обеспечения организации и проведения подготовки и переподготовки медицинских кадров муниципальных учреждений здравоохранения"</t>
  </si>
  <si>
    <t>19.08.2011, не установлен</t>
  </si>
  <si>
    <t>расходы на содержание МКУ "Архив"</t>
  </si>
  <si>
    <t>Расходы на реализацию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t>
  </si>
  <si>
    <t>Расходы в соответствии с распоряжением АТО от 12.07.2011 № 658-ра на возмещение затрат, связанных со строительством храма "Церковь Вознесения" в г.Колпашево</t>
  </si>
  <si>
    <t>ИМБТ для продолжения строительства храма в г. Колпашево (в соответствии с распоряжением Администрации ТО от 20.07.2011 № 690-ра)</t>
  </si>
  <si>
    <t>МБТ на приобретение оргтехники для Колпашевского районного Совета ветеранов (пенсионеров) войны, труда, Вооруженных сил и правоохранительных органов (в соответствии с распоряжением Администрации ТО от 02.08.2011 № 58-р-в</t>
  </si>
  <si>
    <t>Распоряжение Администрации Томской области от 12.07.2011 N 658-ра "О выделении бюджетных ассигнований резервного фонда финансирования непредвиденных расходов Администрации Томской области"</t>
  </si>
  <si>
    <t>пп.1) п.1</t>
  </si>
  <si>
    <t>12.07.2011- 31.12.2011</t>
  </si>
  <si>
    <t>Распоряжение Администрации Томской области от 20.07.2011 N 690-ра "О выделении бюджетных ассигнований резервного фонда финансирования непредвиденных расходов Администрации Томской области"</t>
  </si>
  <si>
    <t>Иные межбюджетные трансферты на компенсацию части расходов граждан на организацию водоснабжения жилья</t>
  </si>
  <si>
    <t>Иные межбюджетные трансферты на приобретение материалов и оборудования для детской площадки в д.Маракса, ул. Межлесхозная, 15/1 (в соответствии с распоряжением Администрации ТО от 20.07.2011 № 53-ра)</t>
  </si>
  <si>
    <t>Иные межбюджетные трансферты на приобретение материалов МУ "ЦКД" для ремонта помещений Дома культуры "Рыбник", в соответствии с распоряжением АТО от 02.08.2011 № 58-р-в)</t>
  </si>
  <si>
    <t>Иные межбюджетные трансферты на выполнение инженерно- геологического обоснования для проектирования газовых котельных</t>
  </si>
  <si>
    <t>Иные межбюджетные трансферты на укрепление материально-технической базы МУ "Инкинский СКДЦ" (в соответствии с распоряжением АТО от 20.07.2011 № 53-р-в)</t>
  </si>
  <si>
    <t>Распоряжение Администрации Томской области от 02.08.2011 N 58-р-в "О выделении бюджетных ассигнований из резервного фонда финансирования непредвиденных расходов Администрации Томской области"</t>
  </si>
  <si>
    <t>пп а) п.8)</t>
  </si>
  <si>
    <t>02.08.2011- 31.12.2011</t>
  </si>
  <si>
    <t>Постановление Администрации Томской области от 16.06.2011 N 184а "О порядке предоставления иных межбюджетных трансфертов на укрепление материально-технической базы учреждений здравоохранения в рамках реализации региональной Программы модернизации здравоохранения Томской области на 2011-2012 годы"</t>
  </si>
  <si>
    <t>11.07.2011- 31.12.2012</t>
  </si>
  <si>
    <t>Постановление Администрации Томской области от 10.06.2011 N 135а "О порядке предоставления иных межбюджетных трансфертов на обеспечение организации и проведение подготовки и переподготовки медицинских кадров муниципальных учреждений здравоохранения"</t>
  </si>
  <si>
    <t>п 1-3</t>
  </si>
  <si>
    <t>27.05.2011- 31.12.2011</t>
  </si>
  <si>
    <t>пп з) п.8)</t>
  </si>
  <si>
    <t>Распоряжение Администрации Томской области от 20.07.2011 N 53-р-в "О выделении бюджетных ассигнований из резервного фонда финансирования непредвиденных расходов Администрации Томской области"</t>
  </si>
  <si>
    <t>пп в) п.8)</t>
  </si>
  <si>
    <t>20.07.2011- 31.12.2011</t>
  </si>
  <si>
    <t>Распоряжение Администрации Томской области от 29.06.2011 N 48-р-в "О выделении бюджетных ассигнований из резервного фонда финансирования непредвиденных расходов Администрации Томской области"</t>
  </si>
  <si>
    <t>пп а) п.7)</t>
  </si>
  <si>
    <t>29.06.2011- 31.12.2011</t>
  </si>
  <si>
    <t>пп в) п.7)</t>
  </si>
  <si>
    <t>пп б) п.7)</t>
  </si>
  <si>
    <t>пп д),е) п.8)</t>
  </si>
  <si>
    <t>пп в),г) п.8)</t>
  </si>
  <si>
    <t>Распоряжение Администрации Томской области от 16.06.2011 N 43-р-в "О выделении бюджетных ассигнований из резервного фонда финансирования непредвиденных расходов Администрации Томской области"</t>
  </si>
  <si>
    <t>16.06.2011- 31.12.2011</t>
  </si>
  <si>
    <t>п.9)</t>
  </si>
  <si>
    <t>Распоряжение Администрации Томской области от 18.07.2011 № 675-ра "О выделении бюджетных ассигнований бюджету муниципального образования "Колпашевский район"</t>
  </si>
  <si>
    <t>18.07.2011- 31.12.2011</t>
  </si>
  <si>
    <t>Распоряжение Администрации Томской области от 30.03.2011 N 247-ра "О внесении изменений в распоряжение 
Администрации Томской области от 19.08.2010 N 710-ра"</t>
  </si>
  <si>
    <t>25.02.2011- 31.12.2011</t>
  </si>
  <si>
    <t>Распоряжение Администрации Томской области от 18.07.2011 N 678-ра "О выделении бюджетных ассигнований бюджету муниципального образования "Колпашевский район"</t>
  </si>
  <si>
    <t>Иные межбюджетные трансферты на приобретение материалов для ремонта квартир малообеспеченных пенсионеров в с.Чажемто (в соответствии с распоряжением АТО от 09.06.2011 № 40-р-в)</t>
  </si>
  <si>
    <t>Иные межбюджетные трансферты на поощрение поселенческих команд, учавствовавших в 6-й летней межпоселенческой спартакиаде в д. Новогорное</t>
  </si>
  <si>
    <t>Иные межбюджетные трансферты на строительство и оборудование помещения для установки резервного источника электроснабжения котельной и ремонт теплотрассы в с.Инкино</t>
  </si>
  <si>
    <t>Иные межбюджетные трансферты на ремонт водопровода в с.Маракса</t>
  </si>
  <si>
    <t>Иные межбюджетные трансферты на укрепление материально- технической базы МУ "Саровский СКДЦ" (в соответствии с распоряжением АТО от 16.06.2011 № 562-ра)</t>
  </si>
  <si>
    <t>Иные межбюджетные трансферты на изготовление и установку детских игровых площадок по адресам: г.Колпашево ул.Коммунистическая 7, с.Тогур, ул. Октябрьская, 111 в соответствии с распоряжением АТО от 02.08.2011 № 58-р-в</t>
  </si>
  <si>
    <t>Иные межбюджетные трансферты на исполнение судебных актов по обеспечению жилыми помещениями детей-сирот, оставшихся без попечения родителей, а также лиц из их числа, не имеющих закрепленного жилого помещения</t>
  </si>
  <si>
    <t>Иные межбюджетные трансферты на ремонт теплосети и сети горячего водоснабжения по адресу: г.Колпашево, мкр.Геолог, 16 (от тепловой камеры ТК-7 до МДОУ № 3)</t>
  </si>
  <si>
    <t>Иные межбюджетные трансферты МО "Чажемтовское сельское поселение" на строительство ВЛЭП по ул. Ягодная с. Чажемто"</t>
  </si>
  <si>
    <t>Иные межбюджетные трансферты МО "Чажемтовское сельское поселение" на строительство ВЛЭП по пер.Таежному с. Чажемто</t>
  </si>
  <si>
    <t>Иные межбюджетные трансферты МО "Чажемтовское сельское поселение" на строительство гравированной дороги по ул. Ягодная в с.Чажемто с. Чажемто</t>
  </si>
  <si>
    <t>Дотации на поддержку мер по обеспечению сбалансированности местных бюджетов</t>
  </si>
  <si>
    <t>Иные межбюджетные трансферты на строительство инженерной инфраструктуры территорий индивидуальной застройки в с.Чажемто (в соответствии с распоряжением АТО от 20.07.2011 № 690-ра)</t>
  </si>
  <si>
    <t>Дотации на поддержку мер по обеспечению сбалансированности бюджетов поселений</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</si>
  <si>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</si>
  <si>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</si>
  <si>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</si>
  <si>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Иные межбюджетные трансферты на укрепление материально-технической базы МУ "Библиотека" (в соответствии с распоряжением АТО от 25.08.2011 № 65-р-в)</t>
  </si>
  <si>
    <t>Иные межбюджетные трансферты на укрепление материально-технической базы МУ "Новоселовский СКДЦ"</t>
  </si>
  <si>
    <t>Иные межбюджетные трансферты на укрепление материально-технической базы МУ "Саровский СКДЦ"</t>
  </si>
  <si>
    <t>Иные межбюджетные трансферты на укрепление материально-технической базы МУ "Саровский СКДЦ" (в соответствии с распоряжением АТО от 22.09.2011 № 72-р-в)</t>
  </si>
  <si>
    <t>Иные межбюджетные трансферты на изготовление и установку стелы в с. Чугунка погибшим землякам - участникам ВОв (в соответствии с распоряжением Адмсинистрации ТО от 12.08.2011 № 61-р-в)</t>
  </si>
  <si>
    <t>Иные межбюджетные трансферты на приобретение театральных кресел МУ "Новогоренский СКДЦ" (в соответствии с распоряжением Администрации ТО от 12.08.2011 № 61-р-в)</t>
  </si>
  <si>
    <t>Иные межбюджетные трансферты на разработку проекта раздевалки на стадионе в с. Тогур (в соответствии с распоряжением Администрации ТО от 25.08.2011 № 65-р-в)</t>
  </si>
  <si>
    <t>Иные межбюджетные трансферты на приобретение мебели МУ "Саровский СКДЦ", на укрепление материально-технической базы ДК с. Новоильинка (в соответствии с распоряжением Администрации ТО от 12.08.2011 № 61-р-в)</t>
  </si>
  <si>
    <t>Иные межбюджетные трансферты на подготовку и проведение поселенческой сельскохозяйственной ярмарки</t>
  </si>
  <si>
    <t>Иные межбюджетные трансферты на приобретение занавеса для сцены МУ "ЦКД", в том числе для ДК "Рыбник" (в соответствии с распоряжением Администрации ТО от 12.08.2011 № 61-р-в)</t>
  </si>
  <si>
    <t>Иные межбюджетные трансферты МУ "Чажемтовский СКДЦ" (в соответствии с распоряжением Администрации ТО от 12.08.2011 № 61-р-в)</t>
  </si>
  <si>
    <t>Иные межбюджетные трансферты на проведение выборов Главы муниципального образования "Колпашевское городское поселение"</t>
  </si>
  <si>
    <t>Иные межбюджетные трансферты на исполнение судебного решения по обеспечению жилыми помещениями детей-сирот, оставшихся без попечения родителей, а также детей из их числа, не имеющих закрепленного жилого помещения</t>
  </si>
  <si>
    <t>Иные межбюджетные трансферты на капитальный ремонт муниципальных жилых помещений</t>
  </si>
  <si>
    <t>Иные межбюджетные трансферты на ремонт жилого дома по адресу: с. Чажемто, ул. Зеленая, 2 (в соответствии с распоряжением Администрации ТО от 11.08.2011 № 778-ра)</t>
  </si>
  <si>
    <t>Иные межбюджетные трансферты на строительство комплексной спортивной площадки в с.Тогур Колпашевского района</t>
  </si>
  <si>
    <t>Субсидия бюджетам МО на организацию проведения обучения основам энергосбережения, в рамках ДЦП "Энергосбережение и повышение энергетической Эффективности на территории ТО на 2010-2012 годы и на перспективу до 2020 года"</t>
  </si>
  <si>
    <t>Постановление Администрации Колпашевского района от 29.11.2010 № 1453 "Об утверждении долгосрочной районной целевой  программы «Энергосбережение и повышение энергетической эффективности на территории Колпашевского района Томской области на период с 2010 по 2012 годы и на перспективу до 2020 года» (в редакции от 19.09.2011 № 983)</t>
  </si>
  <si>
    <t>29.11.2010- 31.12.2020</t>
  </si>
  <si>
    <t>Расходы на частичную оплату стоимости питания отдельных категорий обучающихся в муниципальных учреждениях Томской области, за счет средств иных межбюджетных трансфертов из областного бюджета</t>
  </si>
  <si>
    <t>МБТ МДОУ "Детский сад общеразвивающего вида № 19" г.Колпашево на приобретение игрового оборудования</t>
  </si>
  <si>
    <t>Распоряжение Администрации Томской области от 25.08.2011 N 65-р-в "О выделении бюджетных ассигнований из резервного фонда финансирования непредвиденных расходов Администрации Томской области"</t>
  </si>
  <si>
    <t>пп в) п.6)</t>
  </si>
  <si>
    <t>25.08.2011- 31.12.2011</t>
  </si>
  <si>
    <t>Постановление Администрации Колпашевского района от 12.09.2011 № 961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</si>
  <si>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12.09.2011- 31.12.2011</t>
  </si>
  <si>
    <t>Расходы на укрепление материально-технической базы муниципальных образовательных учреждений, приобретение материалов для ремонта муниципальных образовательных учреждений (в соответствии с распоряжением АТО от 12.08.2011 № 61-р-в)</t>
  </si>
  <si>
    <t>Распоряжение Администрации Томской области от 12.08.2011 N 61-р-в "О выделении бюджетных ассигнований из резервного фонда финансирования непредвиденных расходов Администрации Томской области"</t>
  </si>
  <si>
    <t>пп б)-ж) п.9)</t>
  </si>
  <si>
    <t>Постановление Администрации Колпашевского района от 31.08.2011 № 883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</si>
  <si>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31.08.2011- 31.12.2011</t>
  </si>
  <si>
    <t>Межбюджетные трансферты МОУ "Новоселовская СОШ" на укрепление материально-технической базы (в соответствии с распоряжением Администрации ТО от 17.08.2011 № 63-р-в)</t>
  </si>
  <si>
    <t>Распоряжение Администрации Томской области от 17.08.2011 N 63-р-в "О выделении бюджетных ассигнований из резервного фонда финансирования непредвиденных расходов Администрации Томской области"</t>
  </si>
  <si>
    <t>п.10)</t>
  </si>
  <si>
    <t>Постановление Администрации Колпашевского района от 12.09.2011 № 960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</si>
  <si>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Межбюджетные трансферты на укрепление материально - технической базы общеобразовательным учреждениям (в соответствии с распоряжением Администрации ТО от 06.09.2011 № 71-р-в)</t>
  </si>
  <si>
    <t>Распоряжение Администрации Томской области от 06.09.2011 N 71-р-в "О выделении бюджетных ассигнований из резервного фонда финансирования непредвиденных расходов Администрации Томской области"</t>
  </si>
  <si>
    <t>п.8)</t>
  </si>
  <si>
    <t>12.08.2011- 31.12.2011</t>
  </si>
  <si>
    <t>17.08.2011- 31.12.2011</t>
  </si>
  <si>
    <t>06.09.2011- 31.12.2011</t>
  </si>
  <si>
    <t>Постановление Администрации Колпашевского района от 26.09.2011 № 1014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</si>
  <si>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26.09.2011- 31.12.2011</t>
  </si>
  <si>
    <t>Средства субсидии из областного бюджета на реализацию подпрограммы "Школьное окно"</t>
  </si>
  <si>
    <t>Решение Думы Колпашевского района от 29.08.2011 № 94 "О порядке использования средств субсидии из областного бюджета на реализацию подпрограммы "Школьное окно" долгосрочной целевой программы "Энергосбережение и повышение энергитической эффективности на территории Томской области на 2011- 2012 годы и на перспективу до 2020 года"</t>
  </si>
  <si>
    <t>29.08.2011- не установлен</t>
  </si>
  <si>
    <t>Постановление Администрации Томской области от 13.05.2010 г. N 94а "О Порядке предоставления из областного бюджета субсидий бюджетам муниципальных образований Томской области и их расходования"</t>
  </si>
  <si>
    <t>Расходы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образования, за счет средств местного бюджета</t>
  </si>
  <si>
    <t>Иные межбюджетные трансферты на организацию благоустройства территорий (за счет средств местного бюджета)</t>
  </si>
  <si>
    <t>Иные межбюджетные трансферты МО "Колпашевское городское поселение" на оказание содействия в реализации энергоэффективных проектов"</t>
  </si>
  <si>
    <t>Иные межбюджетные трансферты на изготовление и установку спортивных сооружений в д. Маракса, включая приобретение пиломатериала</t>
  </si>
  <si>
    <t>Иные межбюджетные трансферты на организацию благоустройства территорий (за счет средств обл. бюджета)</t>
  </si>
  <si>
    <t>Иные межбюджетные трансферты на капитальный ремонт жилых помещений, находящихся в муниципальной собственности МО "Новоселовское сельское поселение"</t>
  </si>
  <si>
    <t>Решение Думы Колпашевского района от 17.10.2011 № 129 "О порядке использования средств субсидии  из областного бюджета на развитие инфраструктуры дошкольного образования муниципальных образований Томской области"</t>
  </si>
  <si>
    <t>13.10.2011, не установлен</t>
  </si>
  <si>
    <t>Решение Думы Колпашевского района от 25.11.2011 № 137 "О порядке использования средств субсидии  из областного бюджета на развитие инфраструктуры дошкольного образования муниципальных образований Томской области"</t>
  </si>
  <si>
    <t>08.11.2011, не установлен</t>
  </si>
  <si>
    <t>Решение Думы Колпашевского района от 29.08.2011 № 92 "О порядке использования средств субсидии из областного бюджета на оснащение школьных автобусов аппаратурой спутниковой навигации ГЛОНАСС"</t>
  </si>
  <si>
    <t>16.06.2011, не установлен</t>
  </si>
  <si>
    <t>Субсидия на реализацию комплексных программ поддержки развития дошкольных образовательных учреждений (федеральный бюджет)</t>
  </si>
  <si>
    <t>п.2 п.п.20, п.26</t>
  </si>
  <si>
    <t>Решение Думы Колпашевского района от 25.11.2011 № 141 "О порядке использования средств субсидии на реализацию комплексных программ поддержки развития дошкольных образовательных учреждений муниципальных образований Томской области"</t>
  </si>
  <si>
    <t>21.11.2011- 31.12.2011</t>
  </si>
  <si>
    <t>Расходы в соответствии с распоряжением Администрации ТО от 21.09.2011 № 75-р-в на приобретение танцевальных костюмов для хореографического коллектива "Глория"</t>
  </si>
  <si>
    <t>Постановление Администрации Колпашевского района от 05.10.2011 № 1048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</si>
  <si>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05.10.2011- 31.12.2011</t>
  </si>
  <si>
    <t>Распоряжение Администрации Томской области от 21.09.2011 N 75-р-в "О выделении бюджетных ассигнований из резервного фонда финансирования непредвиденных расходов Администрации Томской области"</t>
  </si>
  <si>
    <t>п.7) п.п.б)</t>
  </si>
  <si>
    <t>21.09.2011- 31.12.2011</t>
  </si>
  <si>
    <t>Решение Думы Колпашевского района от 25.11.2011 № 135 "О порядке использования средств субсидии на модернизацию региональных систем общего образования"</t>
  </si>
  <si>
    <t>20.10.2011- 31.12.2011</t>
  </si>
  <si>
    <t>Постановление Администрации Томской области от 20.09.2011 N 286а "О финансовом обеспечении реализации комплекса мер по модернизации общего образования Томской области в 2011 году"</t>
  </si>
  <si>
    <t>20.09.2011- 31.12.2011</t>
  </si>
  <si>
    <t>Решение Думы Колпашевского района от 14.02.2011 № 5 "О мерах по реализации Закона Томской области от 17.12.2007 № 276-ОЗ "О выделении субвенций местным бюджетам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образования,а также дополнительного образования в рамках основных общеобразовательных программ в муниципальных общеобразовательных  учреждениях" (в редакции от 25.11.2011 № 140)</t>
  </si>
  <si>
    <t>Субвенция на обеспечение жильем граждан, уволенных с военной службы, и приравненых к ним лицам</t>
  </si>
  <si>
    <t>Постановление Администрации Колпашевского района от 22.11.2011 № 1226 "О утверждении Положения о порядке перечисления гражданам единовременной денежной выплаты на приобретение или строительство жилого помещения на территории Томской области органами местного самоуправления муниципального образования «Колпашевский район» за счёт средств федерального бюджета в соответствии с Федеральным законом от 27 мая 1998 г. № 76-ФЗ «О статусе военнослужащих» и Федеральным   законом от 8 декабря 2010 г. № 342-ФЗ «О внесении изменений в Федеральный закон «О статусе военнослужащих» и об обеспечении жилыми помещениями некоторых категорий граждан"</t>
  </si>
  <si>
    <t>Федеральный закон от 27.05.1998 N 76-ФЗ "О статусе военнослужащих"</t>
  </si>
  <si>
    <t>ст.3 п.4</t>
  </si>
  <si>
    <t>01.01.1998, не установлен</t>
  </si>
  <si>
    <t>Закон Томской области от 08.08.2011 N 163-ОЗ "О наделении органов местного самоуправления отдельными государственными полномочиями по обеспечению жилыми помещениями отдельных категорий граждан за счет средств федерального бюджета в соответствии с Федеральным законом от 27.05.1998 N 76-ФЗ "О статусе военнослужащих" и Федеральным законом от 08.12.2010 N 342-ФЗ "О внесении изменений в Федеральный закон "О статусе военнослужащих" и об обеспечении жилыми помещениями некоторых категорий граждан"</t>
  </si>
  <si>
    <t>ст. 3</t>
  </si>
  <si>
    <t>10.09.2011, не установлен</t>
  </si>
  <si>
    <t>2.3.30.</t>
  </si>
  <si>
    <t>Постановление Администрации Колпашевского района от 12.09.2011 № 937 "О порядке предоставления субсидии Колпашевской районной организации Томского регионального отделения Всероссийской общественной организации ветеранов (пенсионеров) войны труда Вооруженных Сил и правоохранительных органов"</t>
  </si>
  <si>
    <t>Постановление Администрации Колпашевского района от 14.09.2011 № 972 "О порядке предоставления субсидии Томскому Региональному Общественному Благотворительному Фонду "Колпашевская церковь Вознесения" на возмещение затрат, связанных со строительством храма "Церковь Вознесения" в г. Колпашево"</t>
  </si>
  <si>
    <t>14.09.2011- 31.12.2011</t>
  </si>
  <si>
    <t>п. 1 абз. 3</t>
  </si>
  <si>
    <t>Расходы на реализацию подпрограммы "Обеспечение жильем молодых семей" (ФЦП "Жилище" на 2011-2015гг.) (федеральный бюджет)</t>
  </si>
  <si>
    <t>Расходы на реализацию долгосрочной целевой программы "Обеспечение жильем молодых семей в Томской области на 2011-2015гг." (областной бюджет)</t>
  </si>
  <si>
    <t>Постановление Администрации Томской области от 26.04.2011 N 118а "О реализации на территории Томской области подпрограммы "Обеспечение жильем молодых семей" федеральной целевой программы "Жилище" на 2011-2015 годы и долгосрочной целевой программы "Обеспечение жильем молодых семей в Томской области на 2011-2015 годы"</t>
  </si>
  <si>
    <t>п.1 п.п.6)</t>
  </si>
  <si>
    <t>26.04.2011, 31.12.2015</t>
  </si>
  <si>
    <t>Иные межбюджетные трансферты на награждение муниципального образования "Саровское сельское поселение", победителя районной сельскохозяйственной ярмарки "Дары осени"</t>
  </si>
  <si>
    <t>Иные межбюджетные трансферты на ремонт автомобиля УАЗ-220694-04</t>
  </si>
  <si>
    <t>Иные межбюджетные трансферты на организацию электроснабжения котельных Новоселовского сельского поселения</t>
  </si>
  <si>
    <t>Иные межбюджетные трансферты на укрепление материально-технической базы МУ "Новогоренский СКДЦ"</t>
  </si>
  <si>
    <t>Иные межбюджетные трансферты на изготовление и установку детской игровой площадки по адресу: г.Колпашево, ул.Сосновая, 9 (в соответствии с распоряжением АТО от 29.09.2011 № 77-р-в)</t>
  </si>
  <si>
    <t>Иные межбюджетные трансферты на приобретение топлива для организации теплоснабжения Дома культуры с.Новоильинка</t>
  </si>
  <si>
    <t>Иные межбюджетные трансферты на изготовление и установку детской игровой площадки в с.Тогур, ул. Пушкина, д.34 (в соответствии с распоряжением Администрации ТО от 21.10.2011 № 85-р-в)</t>
  </si>
  <si>
    <t>Иные межбюджетные трансферты Администрации Колпашевского городского поселения на укрепление материально-технической базы (в соответствии с распоряжением Администрации ТО от 21.09.2011 № 75-р-в)</t>
  </si>
  <si>
    <t>Иные межбюджетные трансферты на приобретение и установку водосборных желобов и водосточных труб на жилом доме по адресу: г.Колпашево, ул. Обская, 27 (в соответствии с распоряжением Администрации ТО от 21.10.2011 № 85-р-в)</t>
  </si>
  <si>
    <t>Иные межбюджетные трансферты на приобретение танцевальной обуви и на приобретение линолиума МУ "ЦКД" (в соответствии с рапоряжением Администрации ТО от 21.10.2011 № 85-р-в)</t>
  </si>
  <si>
    <t>Иные межбюджетные трансферты на ремонт тепловых сетей холодного водоснабжения от модульной котельной "ТГТ" до МДОУ № 9</t>
  </si>
  <si>
    <t xml:space="preserve">Иные межбюджетные трансферты для долевого участия в проведении работ на аварийном объекте - наружном водопроводе в г.Колпашево, ул.Горького (от ул.Ленина до ул.Коммунистическая), с целью предупреждения черезвычайной ситуации, связанной с обеспечением населения водой (в соответствии с распоряжением Администрации ТО от 24.10.2011 № 1051-ра) </t>
  </si>
  <si>
    <t>Иные межбюджетные трансферты на строительство водопровода (в соответствии с распоряжением Администрации ТО от 27.10.2011 № 1080-ра)</t>
  </si>
  <si>
    <t>Иные межбюджетные трансферты на укрепление материально-технической базы МУ "ЦКД"</t>
  </si>
  <si>
    <t>Иные межбюджетные трансферты на компенсацию расходов граждан на организацию водоснабжения жилья (в соответствии с распоряжением Администрации ТО от 17.10.2011 № 1019-ра)</t>
  </si>
  <si>
    <t>Иные межбюджетные трансферты на возмещение теплоснабжающим организациям затрат, обусловленных незапланированным в тарифе на тепловую энергию ростом цен на уголь в муниципальных образованиях, расположенных в местностях, приравненных к районам Крайнего Севера</t>
  </si>
  <si>
    <t>Иные межбюджетные трансферты на приобретение в муниципальную собственность газораспределительных сетей г.Колпашево и с.Тогур Колпашевского района ТО 5 очередь</t>
  </si>
  <si>
    <t>22.09.2011- 31.12.2011</t>
  </si>
  <si>
    <t>Постановление Администрации Колпашевского района от 22.09.2011 № 993 "О порядке расходования средств бюджетных ассигнований, выделенных из резервного фонда Администрации Томской области по ликвидации последствий стихийных бедствий и других черезвычайных ситуаций бюджету муниципального образования "Колпашевский район", для проведения аварийно- восстановительных работ на автомобильной дороге "Тогур-Север-Дальнее-Куржино-Копыловка" (в редакции от 05.10.2011 № 1049)</t>
  </si>
  <si>
    <t>Расходы на реализацию программы энергосбережения и повышения энергетической эффективности на период до 2020г. (из областного бюджета)</t>
  </si>
  <si>
    <t>Решение Думы Колпашевского района от 16.12.2011 № 184 "О порядке расходования средств субсидии из областного бюджета Томской области на установку приборов учета потребления теплоэнергетических ресурсов в муниципальных учреждениях Томской области"</t>
  </si>
  <si>
    <t>16.12.2011- 31.12.2011</t>
  </si>
  <si>
    <t>Решение Думы Колпашевского района от 18.03.2011 № 23 "Об организации проведения районнных мероприятий и обеспечении участия в мероприятиях регионального, федерального уровней в сфере образования" (в редакции от 16.12.2011 № 167)</t>
  </si>
  <si>
    <t>Решение Думы Колпашевского района от 20.06.2011 № 63 "О порядке использования средств субсидии из областного бюджета на реализацию программы "Профилактика детского дорожно-транспортного травматизма на территории Томской области в 2010-2011 годах" (в редакции от 16.12.2011 № 175)</t>
  </si>
  <si>
    <t>Постановление Администрации Колпашевского района от 01.02.2010 № 149 "Об утверждении долгосрочной целевой программы "Профилактика правонарушений на территории МО "Колпашевский район" на 2010-2012 годы" ( в редакции от 07.04.2010 № 537, от 07.12.2010 № 1498, от 21.12.2010 № 1557, от 26.04.2011№ 384, от 07.12.2011 № 1298)</t>
  </si>
  <si>
    <t>Иные межбюджетные трансферты на компенсацию убытков организаций, эксплуатирующих коммунальные объекты, принятые в муниципальную собственность в связи с расформированием войсковой части в г. Колпашево, а также на компенсацию расходов по организации теплоснабжения муниципальными энергоснабжающими организациями</t>
  </si>
  <si>
    <t>Иные межбюджетные трансферты на организацию уличного освещения</t>
  </si>
  <si>
    <t>Иные межбюджетные трансферты на ремонт автомобиля</t>
  </si>
  <si>
    <t>Иные межбюджетные трансферты на разработку, экспертизу проектно-сметной документации, приобретение, установку водогрейных котлов, сборку блочно-модульной котельной "Звезда" г.Колпашево и подключение её к инженерным сетям с целью предупреждения черезвычайной ситуации</t>
  </si>
  <si>
    <t>Субсидия бюджетам поселений на реализацию программы энергосбережения и повышения энергетической эффективности на период до 2020 года</t>
  </si>
  <si>
    <t>Иные межбюджетные трансферты для проведения аварийно-восстановительных работ на котельной "Лазо" по адресу: г.Колпашево, ул.Крылова, 9/2 (в соответствии с распоряжением АТО от 16.11.2011 № 1164-ра)</t>
  </si>
  <si>
    <t>Закон Томской области от 17.08.2010 № 162а "Об утверждении долгосрочной целевой программы "Энергосбережение и повышение энергетической эффективности на территории Томской области на 2010 - 2012 годы и на перспективу до 2020 года"</t>
  </si>
  <si>
    <t>Решение Думы Колпашевского района от 25.11.2005 № 17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обратнодля лиц, работающих в учреждениях и организациях, финансируемых из бюджета Колпашевского района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района для лиц, работающих в учреждениях и организациях. финансируемых из бюджета Колпашевского района" (в редакции от 31.08.06 № 193; от 29.06.07 № 334, от 26.12.2007 № 402, от 28.08.2008 № 529, от 21.09.2009 № 706, от 13.07.2010 № 874, от 23.08.2010 № 908, от 23.08.2010 № 913, от 29.09.2010 № 931, от 16.12.2011 № 163)</t>
  </si>
  <si>
    <t>Постановление Администрации Колпашевского района от 23.05.2011 № 481 "Об утверждении порядка восстановления расходов по фактической оплате за потреблённую электроэнергию муниципальными бюджетными (казенными) учреждениями, объектами благоустройства и органами местного самоуправления"</t>
  </si>
  <si>
    <t>п.3</t>
  </si>
  <si>
    <t>23.05.2011, не установлен</t>
  </si>
  <si>
    <t>Решение Думы Колпашевского района от 18.03.2011 № 25 "Об установлении льготы на пассажирские перевозки речным транспортом на период навигации 2011 года" (в редакции от 06.07.2011 № 80)</t>
  </si>
  <si>
    <t>Постановление Администрации Колпашевского района от 20.04.2011 № 362 "Об утверждении порядка и условий предоставления льготных услуг по перевозкам речным транспортом населения по маршрутам "Тогур-Копыловка", "Тогур-Лебяжье" (в редакции от 27.06.2011 № 628)</t>
  </si>
  <si>
    <t xml:space="preserve">Решение Думы Колпашевского района от 10.12.05 № 34 "Об утверждении Положения о порядке предоставления и финансирования дошкольного образования на территории Колпашевского района" (в редакции от 29.03.06 № 120, от 29.06.06 № 170, от 13.10.06 № 209, от 28.08.2009 № 697, от 29.09.2010 № 918, от 18.03.2011 № 22, от 29.08.2011 № 93, от 25.11.2011 № 139) </t>
  </si>
  <si>
    <t>Решение Думы Колпашевского района от 23.11.2009 № 734 "Об использовании средств местного бюджета на финансирование расходов, связанных с осуществлением перевозок водным транспортом обучающихся муниципальных общеобразовательных учреждений МО "Колпашевский район" (в редакции от 29.08.2011 № 90)</t>
  </si>
  <si>
    <t>26.12.2008- 25.11.2011</t>
  </si>
  <si>
    <t>Решение Думы Колпашевского района от 10.12.2005 № 27 "Об утверждении Положения об организации оказания и финансового обеспечения на территории Колпашевского района первичной медико - санитарной помощи, в том числе женщинам в период беременности, во время и после родов, в том числе на фельдшерско-акушерских пунктах и скорой медицинской помощи (за исключением санитарно-авиационной) (в редакции от 22.12.2006 № 264, от 29.08.2011 № 100)</t>
  </si>
  <si>
    <t>Решение Думы Колпашевского района от 28.02.2008 № 441 "О порядке финансирования муниципального учреждения здравоохранения  "Колпашевская ЦРБ" (в редакции от 29.08.2011 № 100)</t>
  </si>
  <si>
    <t>Постановление Администрации Колпашевского района от 26.12.2011 № 1380 "О порядке расходования средств субсидии из областного бюджета Томской области на установку приборов учета потребления теплоэнергитических ресурсов в муниципальных учреждениях томской области"</t>
  </si>
  <si>
    <t>01.09.2010- 31.12.2020</t>
  </si>
  <si>
    <t>Решение Думы Колпашевского района от 18.03.2011 № 29 "О порядке использования в 2011 году средств бюджета мниципального образования "Колпашевский район" на проведение мероприятий в рамках реализации комплексной программы социально-экономического развития муниципального образования "Колпашевский район" на 2008-2012 годы в разделе "Сельское хозяйство" (в редакции от 23.05.2011 № 50)</t>
  </si>
  <si>
    <t>Иные межбюджетные трансферты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t>
  </si>
  <si>
    <t>Субсидии местным бюджетам на софинансирование объектов капитального строительства собственности муниципальных образований в рамках ДЦП "Развитие автомобильных дорог общего пользования регионального или межмуниципального значения Томской области на 2011 - 2015 годы"</t>
  </si>
  <si>
    <t>Субсидии местным бюджетам на софинансирование объектов капитального строительства государственной собственности субъектов РФ (объектов капитального строительства собственности муниципальных образований) в рамках ДЦП "Социальное развитие села Томской области до 2014 года"</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</si>
  <si>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30.06.2010 № 855 "Об установлении расходных обязательств по осуществлению отдельных государственных полномочий по государственной поддержке с/х производства"</t>
  </si>
  <si>
    <t>отчетный финансовый год   (2011 год)</t>
  </si>
  <si>
    <t>текущий финансовый год (2012)</t>
  </si>
  <si>
    <t>финансовый год +2
(2013 год)</t>
  </si>
  <si>
    <t>финансовый год +3
(2014 год)</t>
  </si>
  <si>
    <t>2014 год</t>
  </si>
  <si>
    <t>Иные межбюджетные трансферты на укрепление материально-технической базы МУ "Библиотека"</t>
  </si>
  <si>
    <t>0905</t>
  </si>
  <si>
    <t>0909</t>
  </si>
  <si>
    <t>0314</t>
  </si>
  <si>
    <t>Расходы на ремонт муниципальных объектов социальной сферы, за счет средств местного бюджета</t>
  </si>
  <si>
    <t>ПРОЕКТ</t>
  </si>
  <si>
    <t>Расходы на оказание медицинской помощи в отделении сестринского ухода детям, в возрасте до 4-х лет, оказавшихся без попечения родителей или иных законных представителей</t>
  </si>
  <si>
    <t>Расходы на выплату денежной компенсации донорам за сданную кровь</t>
  </si>
  <si>
    <t>Расходы на приобретение детских молочных смесей для детей раннего возраста</t>
  </si>
  <si>
    <t>Расходы на проведение конкурса "Развитие общественных инициатив"</t>
  </si>
  <si>
    <t>Расходы на осуществление отдельных государственных полномочий по организации оказания первичной медико-санитарной помощи в амбулаторно- поликлинических и больничных учреждениях, скорой медицинской помощи (за исключением санитарно- авиационной), медецинской помощи женщинам в периодбеременности, во время и после родов в соответствии с областной программой государственных гарантий оказания гражданам РФ бесплатной медицинской помощи на территории Томской области</t>
  </si>
  <si>
    <t>Решение Думы Колпашевского района от 08.10.2005  № 418 "Об утверждении положений (Приложение 1)", 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t>
  </si>
  <si>
    <t>Распоряжение Администрации Колпашевского района от 13.12.2011 № 1144 "О распределении денежных средств на осуществление дорожной деятельности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в границах муниципального образования «Колпашевский район» на 2012 г."</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</si>
  <si>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t>
  </si>
  <si>
    <t>01.01.2012- 31.12.2012</t>
  </si>
  <si>
    <t>Расходы на переподготовку кадров и повышение квалификации</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</si>
  <si>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t>
  </si>
  <si>
    <t>Решение Думы Колпашевского района от 23.01.2012 № 1 "О финансировании расходов на выплату вознаграждения донорам за зданную кровь"</t>
  </si>
  <si>
    <t>п.1,2,4,5</t>
  </si>
  <si>
    <t>01.01.2012, не установлен</t>
  </si>
  <si>
    <t>Решение Думы Колпашевского района от 16.12.2011 № 184 "О порядке расходования средств субсидии из областного бюджета Томской области на установку приборов учета потребления теплоэнергетических ресурсов в муниципальных учреждениях Томской области" (в редакции от 23.01.2012 № 11)</t>
  </si>
  <si>
    <t>Решение Думы Колпашевского района от 25.11.2005 № 20 "Об утверждении Положения о звании "Почетный житель Колпашевского района" (в редакции от 29.03.2006 № 127, от 23.11.2009, от 23.01.2012 № 12)</t>
  </si>
  <si>
    <t>п.1,2</t>
  </si>
  <si>
    <t>Решение Думы Колпашевского района от 24.12.2010 № 36 "О компенсации расходов на питание обучающимся муниципальных общеобразовательных учреждений Колпашевского района" (в редакции от 29.08.2011 № 91, от 16.12.2011 № 166, от 13.02.2012 № 25)</t>
  </si>
  <si>
    <t>Расходы на реализацию Региональной программы по проведению противоаварийных мероприятий в зданиях государственных и муниципальных общеобразовательных учреждений Томской области в 2012 году</t>
  </si>
  <si>
    <t>Распоряжение Администрации Томской области от 30.12.2011 N 1402-ра "Об утверждении Региональной программы по проведению противоаварийных мероприятий в зданиях государственных и муниципальных общеобразовательных учреждений Томской области в 2012 году"</t>
  </si>
  <si>
    <t>30.12.2011- 31.12.2012</t>
  </si>
  <si>
    <t>Решение Думы Колпашевского района от 13.02.2012 № 23 "О порядке использования средств субсидии из областного бюджета на реализацию Региональной программы по проведению противоаварийных мероприятий в зланиях государственных и муниципальных общеобразовательных учреждений Томской области в 2012 году"</t>
  </si>
  <si>
    <t>п.1,3</t>
  </si>
  <si>
    <t>13.02.2012- 31.12.2012</t>
  </si>
  <si>
    <t>Решение Думы Колпашевского района от 14.02.2011 № 3 "О порядке использования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 (в редакции от 13.02.2012 № 22)</t>
  </si>
  <si>
    <t>01.01.2011- 31.12.2012</t>
  </si>
  <si>
    <t>Решение Думы Колпашевского района от 18.03.2011 № 24 "О порядке использования иных межбюджетных трансфертов на стимулирующие выплаты в муниципальных дошкольных образовательных учреждениях Томской области" (в редакции от 13.02.2012 № 20)</t>
  </si>
  <si>
    <t>п. 1,4</t>
  </si>
  <si>
    <t>01.02.2011- 31.12.2012</t>
  </si>
  <si>
    <t>Решение Думы Колпашевского района от 13.02.2012 № 18 "О финансировании расходов на организацию питания детей раннего возраста"</t>
  </si>
  <si>
    <t>Постановление Администрации Колпашевского района от 31.01.2012 № 78 "Об утверждении Порядка определения объёма и условий предоставления субсидии за счёт средств бюджета муниципального образования «Колпашевский район»   муниципальному бюджетному учреждению здравоохранения "Колпашевская ЦРБ" на ремонт муниципальных объектов здравоохранения"</t>
  </si>
  <si>
    <t>Решение Думы Колпашевского района от 13.02.2012 № 17 "О финансировании расходов отделения сестринского ухода и признании утратившими силу отдельных решений Думы Колпашевского района"</t>
  </si>
  <si>
    <t>Решение Думы Колпашевского района от 29.08.2011 № 100 "Об организации отделения сестринского ухода" (в редакции от 13.02.2012 № 17)</t>
  </si>
  <si>
    <t>Расходы на создание условий для оказания медицинской помощи населению на территории муниципального образования "Колпашевский район"</t>
  </si>
  <si>
    <t>Решение Думы Колпашевского района от 13.02.2012 № 19 "О финансировании расходов на создание условий для оказания медицинской помощи населению на территории муниципального образования "Колпашевский район" в соответствии с территориальной программой государственных гарантий оказания гражданам Российской Федерации бесплатной медицинской помощи"</t>
  </si>
  <si>
    <t>1102, 1101</t>
  </si>
  <si>
    <t>1102</t>
  </si>
  <si>
    <t>Решение Думы Колпашевского района от 23.01.2012 № 14 "О финансировании расходов на обеспечение условий для развития физической культуры и массового спорта на территории Колпашевского района" (в редакции от 13.02.2012 № 35)</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</si>
  <si>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t>
  </si>
  <si>
    <t xml:space="preserve">Постановление администрации Колпашевского района от 01.02.2012 № 88 "Об установлении расходных обязательств по осуществлению отдельных государственных полномочий по организации оказания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санитарно-авиционной), медицинской помощи женщинам в период беременности, во время и после родов в соответствии с областной программой государственных гарантий оказания гражданам Российской Федерации бесплатной медицинской помощи на территории Томской области"  </t>
  </si>
  <si>
    <t>01.01.2012, до окончания действия ЗТО от 09.11.2011 № 299-ОЗ</t>
  </si>
  <si>
    <t>22.11.2011, не установлен</t>
  </si>
  <si>
    <t>Расходы на проведение социалогических иследований в соответствии с распоряжением АТО от 12.01.2012 № 4-ра</t>
  </si>
  <si>
    <t>Распоряжение Админстрации Томской области от 12.01.2012 № 4-ра "О выделении бюджетных ассигнований бюджетам муниципальных образований Томской области"</t>
  </si>
  <si>
    <t>Иные межбюджетные трансферты на оплату проектирования газовой модульной котельной "Школа 4"</t>
  </si>
  <si>
    <t>Иные межбюджетные трансферты на софинансировнание мероприятий по капитальному ремонту многоквартирных домов</t>
  </si>
  <si>
    <t>Иные межбюджетные трансферты на приобретение сетей теплоснабжения для газовых котельных</t>
  </si>
  <si>
    <t>Иные межбюджетные трансферты на приобретение мотокос и приобретение и установку установочных павильонов</t>
  </si>
  <si>
    <t>Иные межбюджетные трансферты на проведение работ по аварийно-спасательным и аварийно-восстановительным работам по газовой котельной "Лазо" (г.Колпашево, ул. Крылова, 9/2)</t>
  </si>
  <si>
    <t>Иные межбюджетные трансферты  на изготовление проекта планировки и топографической съемки микрорайона индивидуальной застройки "Юбилейный" в селе Чажемто Колпашевского района Томской области муниципальному образованию "Чажемтовское сельское поселение"</t>
  </si>
  <si>
    <t>Иные межбюджетные трансферты  на организацию деятельности народного академического хора при МБУ "ЦКД"</t>
  </si>
  <si>
    <t>Иные межбюджетные трансферты  на укрепление материально-технической базы сельских домов культуры</t>
  </si>
  <si>
    <t>Иные межбюджетные трансферты  на приобретение травокосилки в рамках благоустройства Иванкинского поселения</t>
  </si>
  <si>
    <t>Иные межбюджетные трансферты  на приобретение травокосилок в рамках благоустройства Новогоренского поселения поселения</t>
  </si>
  <si>
    <t>12.01.2012- 20.03.2012</t>
  </si>
  <si>
    <t>Постановление Администрации Колпашевского района от 19.01.2012 № 28 "О порядке расходования средств субсидии из резервного фонда финансирования непредвиденных расходов Администрации Томской области для проведения социалогических исследований"</t>
  </si>
  <si>
    <t>19.01.2012- 20.03.2012</t>
  </si>
  <si>
    <t>01.05.2008, не установлен</t>
  </si>
  <si>
    <t>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</si>
  <si>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01.07.2010, до окончания срока действия ЗТО от 29.12.2005 № 241-ОЗ</t>
  </si>
  <si>
    <t>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</si>
  <si>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t>
  </si>
  <si>
    <t xml:space="preserve">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</si>
  <si>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t>
  </si>
  <si>
    <t xml:space="preserve">01.07.2010-до окончания срока действия ЗТО от 15.12.2004 № 248-ОЗ </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</si>
  <si>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</si>
  <si>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 xml:space="preserve">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</si>
  <si>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 xml:space="preserve">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</si>
  <si>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01.07.2010-До окончания срока действия ЗТО от 18.03.2003 № 36-ОЗ</t>
  </si>
  <si>
    <t xml:space="preserve">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t>
  </si>
  <si>
    <t xml:space="preserve">Постановление Администрации Колпашевского района от 30.06.2010 №863 "Об установлении расходных обязательств по осуществлению отдельных государственных полномочий" </t>
  </si>
  <si>
    <t>Бюджетный кодекс Российской Федерации от 31.07.1998 № 145-ФЗ</t>
  </si>
  <si>
    <t>3 аб. п.1, п.3 ст. 86</t>
  </si>
  <si>
    <t>01.01.2000, не установлен</t>
  </si>
  <si>
    <t>Закон Томской области от 09.11.2011 N 299-ОЗ "О наделении органов местного самоуправления отдельными государственными полномочиями по организации оказания первичной медико-санитарной помощи в амбулаторно-поликлинических, стационарно-поликлинических и больничных учреждениях, скорой медицинской помощи (за исключением санитарно-авиационной), медицинской помощи женщинам в период беременности, во время и после родов в соответствии с областной программой государственных гарантий оказания гражданам Российской Федерации бесплатной медицинской помощи на территории Томской области"</t>
  </si>
  <si>
    <t>01.01.2012, вводится в действие ежегодно</t>
  </si>
  <si>
    <t>Постановление Администрации Колпашевского района от 30.06.2010 № 864 "Об установлении расходного обязательства МО "Колпашевский район" по осуществлению отдельных государственных полномочий по осуществлению денежных выплат медицинскому персоналу ФАП, врачам, фельдшерам и медицинским сестрам учреждений и подразделений скорой медицинской помощи муниципальной системы здравоохранения Томской области"</t>
  </si>
  <si>
    <t>01.07.2010, до окончания срока действия ЗТО от 27.03.2009 № 38-ОЗ</t>
  </si>
  <si>
    <t>01.07.2010, до окончания срока действия ЗТО от 15.12.2004 № 246-ОЗ</t>
  </si>
  <si>
    <t>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</si>
  <si>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</si>
  <si>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Постановление Администрации Колпашевского района от 28.06.2010 № 828 "Об установлении расходных обязательств по осуществлению отдельных государственных полномочий по воспитанию и обучению детей-инвалидов в МДОУ"</t>
  </si>
  <si>
    <t xml:space="preserve"> Постановление Администрации Колпашевского района от 27.08.2010 № 1088 "Об установлении расходного обязательства МО "Колпашевский район" по осуществлению отдельных государственных полномочий по подготовке и проведению Всероссийской переписи населения"</t>
  </si>
  <si>
    <t>Устав Колпашевского района</t>
  </si>
  <si>
    <t>Постановление Администрации Колпашевского района от 29.12.2011 № 1426 "Об утверждении Порядка использования бюджетных ассигнований резервного фонда Администрации Колпашевского района"</t>
  </si>
  <si>
    <t xml:space="preserve">01.01.2012, не установлен </t>
  </si>
  <si>
    <t>Постановление Администрации Колпашевского района от 18.12.2010 № 1540 "О Порядке определения объема и предоставления субсидий некоммерческим организациям, не являющимися бюджетными учреждениями, в 2011 году" (в редакции от 30.12.2010 № 1603)</t>
  </si>
  <si>
    <t>Постановление Администрации Колпашевского района от 27.06.2011 № 631 "Об использовании бюджетных ассигнований резервного фонда финансирования непредвиденных расходов    Администрации Томской области на софинансирование расходов для ремонта и (или) переустройства жилых помещений граждан, не состоящих на учёте в качестве нуждающихся в улучшении жилищных условий и не реализовавших свое право на улучшение жилищных условий за счёт средств федерального и областного бюджетов в 2009-2011 годах, из числа: участников и инвалидов Великой Отечественной войны 1941-1945 годов; тружеников тыла военных лет; лиц, награждённых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</si>
  <si>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Постановление Администрации Колпашевского района от 29.07.2011 № 753 "О порядке предоставления субсидии Томскому Региональному Общественному Благотворительному Фонду «Колпашевская церковь Вознесения» на возмещение затрат, связанных со строительством храма «Церковь Вознесения» в г.Колпашево"</t>
  </si>
  <si>
    <t>29.07.2011- 31.12.2011</t>
  </si>
  <si>
    <t>27.06.2011- 31.12.2011</t>
  </si>
  <si>
    <t>Постановление Администрации Колпашевского района от 31.08.2011 № 884 "Об установлении расходного обязательства муниципального образования «Колпашевский район»  по осуществлению отдельных государственных полномочий"</t>
  </si>
  <si>
    <t>31.08.2011 до окончания срока действия ЗТО от 08.08.2011 № 163-ОЗ</t>
  </si>
  <si>
    <t>31.05.2006, не установлен</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</si>
  <si>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t>
  </si>
  <si>
    <t xml:space="preserve">Закон Томской области от 28.12.2010 N 336-ОЗ "О предоставлении межбюджетных трансфертов" </t>
  </si>
  <si>
    <t>абз 7 п.1 ст.1</t>
  </si>
  <si>
    <t>Решение Думы Колпашевского района от 28.04.2008 № 463 "Об утверждении Положения об организации  отдыха  детей Колпашевского района в каникулярное время" (в редакции от 07.12.2009 № 743, от 25.12.2009 № 757, от 17.06.2010 № 851)</t>
  </si>
  <si>
    <t>Решение Думы Колпашевского района от 26.12.2008 № 586 "О порядке расходования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 и резервного фонда Администрации Томской области по ликвидации последствий стихийных бедствий и других чрезвычайных ситуаций"</t>
  </si>
  <si>
    <t>26.12.2008- 31.12.2011</t>
  </si>
  <si>
    <t>Организация обучения основам энергосбережения руководителей и специалистов МУ в рамках ДЦП "Энергосбережение и повышение энергетической эффективности на территории Томской области"</t>
  </si>
  <si>
    <t>Расходы на содержани е счетной палаты Колпашевского района</t>
  </si>
  <si>
    <t>Решение Думы Колпашевского района от 23.04.2012 № 43 "О Cчетной палате Колпашевского района"</t>
  </si>
  <si>
    <t>п.1,2,5</t>
  </si>
  <si>
    <t>23.04.2012, не установлен</t>
  </si>
  <si>
    <t>Расходы на предоставление субсидии на возмещение недополученных доходов, связвнных с предоставлением льготных услуг по перевозке населения по автобусному маршруту № 513 "Колпашево-Копыловка"</t>
  </si>
  <si>
    <t>Решение Думы Колпашевского района от 23.04.2012 № 69 "Об установлении льготы на пассажирские перевозки по автобусному маршруту № 513 «Колпашево – Копыловка»</t>
  </si>
  <si>
    <t>01.03.2012-31.12.2012</t>
  </si>
  <si>
    <t>Решение Думы Колпашевского района от 07.03.2012 № 42 "О порядке использования средств субсидии из областного бюджета на дорожную деятельность в отношении автомобильных дорог местного значения, а ткже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t>
  </si>
  <si>
    <t>Решение Думы Колпашевского района от 14.07.2006 № 180 " Об утверждении Положения о создании условий для предоставления транспортных услуг населению и организации транспортного обслуживания населения по маршрутам между поселениями в границах МО "Колпашевский район" (в редакции от 29.11.2006 №237, от 27.04.2007 № 320, от 15.05.2008 № 477, от 08.09.2008 № 539)</t>
  </si>
  <si>
    <t>Решение Думы Колпашевского района от 23.04.2012 № 75 "О приостановлении действия отдельных положений решения Думы Колпашевского района от 14.07.2006 № 180 «Об утверждении Положения о создании условий для предоставления транспортных услуг населению и организации транспортного обслуживания населения по маршрутам между поселениями в границах муниципального образования «Колпашевский район» (в редакции от 29.11.2006 № 237, от 27.04.2007 № 320, от 15.05.2008 № 477, от 08.09.2008 № 539)</t>
  </si>
  <si>
    <t>23.04.2012- 31.12.2012</t>
  </si>
  <si>
    <t>Решение Думы Колпашевского района от 30.07.07 № 344 "О порядке финансирования муниципальных общеобразовательных учреждений" (в редакции  от 26.12.2007 № 407, от 28.02.2008 № 437; от 23.07.2008 № 509, от 02.07.2009 № 676, от 26.02.2010 № 800, от 13.07.2010 № 876, от 24.12.2010 № 33, от 25.04.2011 № 38, от 29.08.2011 № 89, от 23.04.2012 № 50)</t>
  </si>
  <si>
    <t>Решение Думы Колпашевского района от 16.04.2010 № 822 "Об использовании средств субсидии на организацию отдыха детей Колпашевского района в каникулярное время"; постановление Администрации Колпашевского района Томской области от 09.02.2012 № 105 "О порядке преобретения и предоставления путёвок в загородные стационарные оздоровительные учреждения, расположенные на территории РФ, на целевые смены и в специализированные (профильные) лагеря, расположенные на территории РФ"</t>
  </si>
  <si>
    <t>01.05.2010, не установлен      09.02.2012, не установлен</t>
  </si>
  <si>
    <t>Расходы на приобретение ОС для содержания в чистоте прилигающих территорий</t>
  </si>
  <si>
    <t>Постановление Администрации Колпашевского района от 01.03.2012 № 182 "Об утверждении Порядка определения объема и условий предоставления субсидий из бюджета МО "Колпашевский район" муниципальным бюджетным образовательным учреждениям и муниципальным автономным образовательным учреждениям на приобретение образовательными учреждениями основных средств для содержания в чистоте прилигающих к ним территорий"</t>
  </si>
  <si>
    <t>13.02.2012, не установлен</t>
  </si>
  <si>
    <t>Долгосрочная целевая программа "Энергосбережение и повышение энергитической эффективности на территории ТО на 2010- 2012 годы и на перспективу до 2020 года" (остатки прошлых лет)</t>
  </si>
  <si>
    <t>Решение Думы Колпашевского района от 16.12.2012 № 185 "О порядке расходования средств субсидии             из областного бюджета Томской области на установку приборов учета потребления теплоэнергетических ресурсов в муниципальных учреждениях Томской области"</t>
  </si>
  <si>
    <t>16.12.2011, не установлен</t>
  </si>
  <si>
    <t>Расходы на выплату стипендии Губернатора Томской области молодым учителям муниципальных образовательных учреждений Томской области в соответствии с постановлением АТО от 06.03.2012 № 84а</t>
  </si>
  <si>
    <t>Решение Думы Колпашевского района от 23.04.2012 № 49 "О порядке использования иных межбюджетных трансфертов на выплату стипендии Губернатора Томской области молодым учителям муниципальных образовательных учреждений Томской области, перечисленных в бюджет МО "Колпашевский район" в соответствии с постановлением АТО от 06.03.2012 № 84а"</t>
  </si>
  <si>
    <t>п.1,4</t>
  </si>
  <si>
    <t>Постановление Администрации Колпашевского района от 14.10.2010 № 1288 "Об утверждении долгосрочной целевой программы "Медицинские кадры" на 2011 - 2013 годы" (в редакции от 22.06.2011 № 621, от 30.12.2011№ 1431, от 04.04.2012 № 313)</t>
  </si>
  <si>
    <t>Постановление Администрации Колпашевского района от 04.04.2012 № 314 "Об утверждении Порядка определения объема и условия предоставления субсидии за счет средств бюджета муниципального образования "Колпашевский район" муниципальному бюджетному учреждению здравоохранения "Колпашевская центральная районная больница" на обеспечение организации и проведение подготовки и переподготовки медицинских кадров"</t>
  </si>
  <si>
    <t>04.04.2012- 31.12.2012</t>
  </si>
  <si>
    <t>Решение Думы Колпашевского района от 15.05.2008 № 476 "Об утверждении районной целевой программы "Поддержка и развитие малого и среднего предпринимательства в муниципальном образовании  "Колпашевский район" на 2008-2012 годы" (в редакции от 26.10.2008 № 532, от 08.09.2008 № 543, от  26.12.2008 № 587, от 28.10.2009 № 724, от 25.12.2009 № 761, от 28.01.2010 № 792, от 29.09.2010 № 925, от 18.03.2011 № 30, 25.04.2011 № 43, от 29.08.2011 № 95, от 17.10.2011 № 130, от 16.12.2011 № 165, от 23.03.2012 № 59)</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</si>
  <si>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 от 23.04.2012 № 66)</t>
  </si>
  <si>
    <t>Решение Думы Колпашевского района от 23.04.2012 № 58 "О порядке ипользования в 2012 году средств бюджета МО "Колпашевский район" на проведение мероприятий в рамках реализациикомплексной программы СЭР МО "Колпашеский район"</t>
  </si>
  <si>
    <t>Решение Думы Колпашевского района от 15.05.2008 № 476 "Об утверждении районной целевой программы "Поддержка и развитие малого и среднего предпринимательства в муниципальном образовании " Колпашевский район" на 2008-2012 годы (в редакции от 28.08.2008 № 532, от 08.09.2008 № 543, от 26.12.2008 № 587, от 28.10.2009 № 724, от 25.12.2009 № 761, от 28.01.2010 № 792, от 29.09.2010 № 925, от 18.03.11 № 30, от 25.04.2011 № 43, от 29.08.2011 № 95, от 17.10.2011 № 130, от 16.12.2011 № 165, от 23.04.2012 № 59)</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</si>
  <si>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28.08.2007 № 525, от 24.05.2010 № 835, от 25.04.2011 № 39, от 23.04.2012 № 68), решение Думы Колпашевского района от 28.10.2009 № 716 " Об использовании средств местного бюджета на финансирование расходов, связанных с участием обучающихся муниципальных образовательных учреждений муниципального образования "Колпашевский район" в спортивных мероприятиях районного, регионального, межрегионального и федерального уровней" (в редакции от 13.02.2012 № 24)</t>
  </si>
  <si>
    <t>1101</t>
  </si>
  <si>
    <t>Постановление Администрации Колпашевского района от 15.10.2010 № 1294 "Об утверждении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 (в редакции от 16.03.2011 № 198, от 10.08.2011 № 809, от 05.09.2011 № 910, от 13.02.2012 № 136)</t>
  </si>
  <si>
    <t>Решение Думы Колпашевского района от 23.04.2012 № 57 "О порядке использования средств бюджета МО "Колпашевский район"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</si>
  <si>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Постановление Администрации Томской области от 6 марта 2012 г. N 84а "О финансовом обеспечении выплаты стипендии Губернатора Томской области молодым учителям областных государственных и муниципальных образовательных учреждений Томской области"</t>
  </si>
  <si>
    <t>п. 1,3</t>
  </si>
  <si>
    <t>Постановление Администрации Колпашевского района от 15.10.2010 № 1293 "Об утверждении долгосрочной районной программы "Предоставление молодым семьям государственной поддержки на приобретение (строительство) жилья на территории Колпашевского района на 2011 - 2015 годы" (в редакции от 06.05.2011 № 429, от 22.08.2011 № 845)</t>
  </si>
  <si>
    <t>Постановление Администрации Колпашевского района от 30.12.2011 № 1427 "О Порядке определения объема и предоставления субсидий некоммерческим организациям, не являющимися бюджетными учреждениями, в 2012 году" (в редакции от 11.03.2012 № 209)</t>
  </si>
  <si>
    <t>Решение Думы Колпашевского района от 25.11.2011 № 133 "О бюджете муниципального образования "Колпашевский район" на 2012 год"</t>
  </si>
  <si>
    <t>Субсидия на организацию благоустройства территорий</t>
  </si>
  <si>
    <t>Иные межбюджетные трансферты на поощрение поселенческих команд, учавствовавших в 5-й зимней межпоселенческой спартакиаде</t>
  </si>
  <si>
    <t>Иные межбюджетные трансферты на приобретение и ремонт нежилого здания, и приобретение земельного участка для МБУ "ЦКД"</t>
  </si>
  <si>
    <t>Иные межбюджетные трансферты на софинансирование расходов на строительство газовых котельных взамен нефтяных</t>
  </si>
  <si>
    <t>Иные межбюджетные трансферты на приобретение топлива для котельных МУП "Пламя" с целью ликвидации черезвычайной ситуации (в соответствии с распоряжением АТО от 01.02.2012 № 61-ра)</t>
  </si>
  <si>
    <t>Реестр расходных обязательств муниципального образования "Колпашевский район" на 2012 г. (плановый) и плановый период 2013-2015 года.</t>
  </si>
  <si>
    <t>гр.19</t>
  </si>
  <si>
    <t>финансовый год +3
(2015 год)</t>
  </si>
  <si>
    <t xml:space="preserve">Субсидия на реализацию комплекса мер по модернизации общего образования Томской области </t>
  </si>
  <si>
    <t>2.1.81.</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</si>
  <si>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</si>
  <si>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2015 год</t>
  </si>
  <si>
    <t>МБТ на исполнение судебных решений по обеспечению жилыми помещениями детей-сирот и детей, оставшихся без попечения родителей, а также детей из их числа, не имеющих закрепленного жилого помещения</t>
  </si>
  <si>
    <t>ИМБТ в качестве денежной премии победителям областного ежегодного конкурса на звание "Самое благоустроенное муниципальное образование Томской области"</t>
  </si>
  <si>
    <t>Субсидия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на 2012 год (за счет средств федерального бюджета)</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</si>
</sst>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s>
  <fonts count="59">
    <font>
      <sz val="10"/>
      <name val="Arial Cyr"/>
      <family val="0"/>
    </font>
    <font>
      <sz val="10"/>
      <name val="Arial"/>
      <family val="2"/>
    </font>
    <font>
      <u val="single"/>
      <sz val="10"/>
      <color indexed="12"/>
      <name val="Arial Cyr"/>
      <family val="0"/>
    </font>
    <font>
      <u val="single"/>
      <sz val="10"/>
      <color indexed="36"/>
      <name val="Arial Cyr"/>
      <family val="0"/>
    </font>
    <font>
      <sz val="10"/>
      <name val="Times New Roman CYR"/>
      <family val="1"/>
    </font>
    <font>
      <sz val="9"/>
      <name val="Times New Roman CYR"/>
      <family val="1"/>
    </font>
    <font>
      <b/>
      <sz val="10"/>
      <name val="Times New Roman CYR"/>
      <family val="1"/>
    </font>
    <font>
      <sz val="8"/>
      <name val="Times New Roman CYR"/>
      <family val="1"/>
    </font>
    <font>
      <b/>
      <sz val="9"/>
      <name val="Times New Roman CYR"/>
      <family val="1"/>
    </font>
    <font>
      <b/>
      <sz val="14"/>
      <name val="Arial"/>
      <family val="2"/>
    </font>
    <font>
      <sz val="9"/>
      <name val="Arial Cyr"/>
      <family val="0"/>
    </font>
    <font>
      <b/>
      <sz val="8"/>
      <name val="Times New Roman CYR"/>
      <family val="0"/>
    </font>
    <font>
      <sz val="9"/>
      <name val="Times New Roman"/>
      <family val="1"/>
    </font>
    <font>
      <b/>
      <sz val="6"/>
      <name val="Times New Roman CYR"/>
      <family val="1"/>
    </font>
    <font>
      <sz val="6"/>
      <name val="Times New Roman CYR"/>
      <family val="1"/>
    </font>
    <font>
      <sz val="6"/>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CYR"/>
      <family val="0"/>
    </font>
    <font>
      <sz val="8"/>
      <color indexed="10"/>
      <name val="Times New Roman CYR"/>
      <family val="0"/>
    </font>
    <font>
      <b/>
      <sz val="8"/>
      <color indexed="10"/>
      <name val="Times New Roman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CYR"/>
      <family val="0"/>
    </font>
    <font>
      <sz val="8"/>
      <color rgb="FFFF0000"/>
      <name val="Times New Roman CYR"/>
      <family val="0"/>
    </font>
    <font>
      <b/>
      <sz val="8"/>
      <color rgb="FFFF0000"/>
      <name val="Times New Roman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color indexed="8"/>
      </right>
      <top style="thin"/>
      <bottom>
        <color indexed="63"/>
      </bottom>
    </border>
    <border>
      <left style="thin"/>
      <right style="thin">
        <color indexed="8"/>
      </right>
      <top>
        <color indexed="63"/>
      </top>
      <bottom style="thin"/>
    </border>
    <border>
      <left style="thin"/>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209">
    <xf numFmtId="0" fontId="0" fillId="0" borderId="0" xfId="0" applyAlignment="1">
      <alignment/>
    </xf>
    <xf numFmtId="0" fontId="1" fillId="0" borderId="0" xfId="53" applyFill="1">
      <alignment/>
      <protection/>
    </xf>
    <xf numFmtId="0" fontId="4" fillId="0" borderId="0" xfId="53" applyFont="1" applyFill="1">
      <alignment/>
      <protection/>
    </xf>
    <xf numFmtId="0" fontId="5" fillId="0" borderId="0" xfId="53" applyFont="1" applyFill="1">
      <alignment/>
      <protection/>
    </xf>
    <xf numFmtId="0" fontId="4" fillId="0" borderId="0" xfId="53" applyFont="1" applyFill="1" applyAlignment="1">
      <alignment/>
      <protection/>
    </xf>
    <xf numFmtId="0" fontId="5" fillId="0" borderId="0" xfId="53" applyFont="1" applyFill="1" applyAlignment="1">
      <alignment/>
      <protection/>
    </xf>
    <xf numFmtId="0" fontId="6" fillId="0" borderId="0" xfId="53" applyFont="1" applyFill="1">
      <alignment/>
      <protection/>
    </xf>
    <xf numFmtId="0" fontId="5" fillId="0" borderId="10" xfId="0" applyNumberFormat="1" applyFont="1" applyFill="1" applyBorder="1" applyAlignment="1" applyProtection="1">
      <alignment horizontal="center" vertical="center" wrapText="1" shrinkToFit="1"/>
      <protection locked="0"/>
    </xf>
    <xf numFmtId="0" fontId="4" fillId="0" borderId="0" xfId="0" applyNumberFormat="1" applyFont="1" applyFill="1" applyBorder="1" applyAlignment="1" applyProtection="1">
      <alignment vertical="top"/>
      <protection/>
    </xf>
    <xf numFmtId="0" fontId="1" fillId="0" borderId="0" xfId="53" applyFont="1" applyFill="1">
      <alignment/>
      <protection/>
    </xf>
    <xf numFmtId="14" fontId="5" fillId="0" borderId="10"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wrapText="1"/>
      <protection/>
    </xf>
    <xf numFmtId="0" fontId="5" fillId="0" borderId="1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top" wrapText="1"/>
      <protection/>
    </xf>
    <xf numFmtId="0" fontId="8"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4" fontId="5" fillId="0" borderId="10"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vertical="top"/>
      <protection/>
    </xf>
    <xf numFmtId="0" fontId="4" fillId="0" borderId="11" xfId="0" applyNumberFormat="1" applyFont="1" applyFill="1" applyBorder="1" applyAlignment="1" applyProtection="1">
      <alignment horizontal="left" vertical="top"/>
      <protection/>
    </xf>
    <xf numFmtId="0" fontId="4" fillId="0" borderId="11"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left" vertical="center" wrapText="1" shrinkToFit="1"/>
      <protection locked="0"/>
    </xf>
    <xf numFmtId="0" fontId="7" fillId="0" borderId="10" xfId="0" applyNumberFormat="1" applyFont="1" applyFill="1" applyBorder="1" applyAlignment="1" applyProtection="1">
      <alignment horizontal="right" vertical="center" wrapText="1" shrinkToFit="1"/>
      <protection locked="0"/>
    </xf>
    <xf numFmtId="0" fontId="8" fillId="0" borderId="10" xfId="0" applyNumberFormat="1" applyFont="1" applyFill="1" applyBorder="1" applyAlignment="1" applyProtection="1">
      <alignment horizontal="center" vertical="center" wrapText="1" shrinkToFit="1"/>
      <protection locked="0"/>
    </xf>
    <xf numFmtId="14" fontId="8" fillId="0" borderId="10" xfId="0" applyNumberFormat="1" applyFont="1" applyFill="1" applyBorder="1" applyAlignment="1" applyProtection="1">
      <alignment horizontal="center" vertical="center" wrapText="1" shrinkToFit="1"/>
      <protection locked="0"/>
    </xf>
    <xf numFmtId="0" fontId="8" fillId="0" borderId="10" xfId="0" applyNumberFormat="1" applyFont="1" applyFill="1" applyBorder="1" applyAlignment="1" applyProtection="1">
      <alignment horizontal="left" vertical="center" wrapText="1"/>
      <protection/>
    </xf>
    <xf numFmtId="4" fontId="5" fillId="0" borderId="10" xfId="0" applyNumberFormat="1" applyFont="1" applyFill="1" applyBorder="1" applyAlignment="1" applyProtection="1">
      <alignment horizontal="center" vertical="center" wrapText="1" shrinkToFit="1"/>
      <protection locked="0"/>
    </xf>
    <xf numFmtId="0" fontId="8" fillId="0" borderId="10" xfId="0" applyNumberFormat="1" applyFont="1" applyFill="1" applyBorder="1" applyAlignment="1" applyProtection="1">
      <alignment wrapText="1"/>
      <protection/>
    </xf>
    <xf numFmtId="0" fontId="5" fillId="0" borderId="10" xfId="0" applyNumberFormat="1" applyFont="1" applyFill="1" applyBorder="1" applyAlignment="1" applyProtection="1">
      <alignment horizontal="left" vertical="top"/>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shrinkToFit="1"/>
      <protection locked="0"/>
    </xf>
    <xf numFmtId="0" fontId="5" fillId="0" borderId="14"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wrapText="1" shrinkToFit="1"/>
      <protection locked="0"/>
    </xf>
    <xf numFmtId="0" fontId="12" fillId="0" borderId="13" xfId="0" applyNumberFormat="1" applyFont="1" applyFill="1" applyBorder="1" applyAlignment="1" applyProtection="1">
      <alignment horizontal="center" vertical="center" wrapText="1" shrinkToFit="1"/>
      <protection locked="0"/>
    </xf>
    <xf numFmtId="0" fontId="12" fillId="0" borderId="10" xfId="0" applyNumberFormat="1" applyFont="1" applyFill="1" applyBorder="1" applyAlignment="1" applyProtection="1">
      <alignment horizontal="center" vertical="center" wrapText="1" shrinkToFit="1"/>
      <protection locked="0"/>
    </xf>
    <xf numFmtId="0" fontId="12" fillId="0" borderId="13"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center" vertical="center" wrapText="1" shrinkToFit="1"/>
      <protection locked="0"/>
    </xf>
    <xf numFmtId="0" fontId="12" fillId="0" borderId="12" xfId="53" applyNumberFormat="1" applyFont="1" applyFill="1" applyBorder="1" applyAlignment="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center" vertical="center" wrapText="1" shrinkToFit="1"/>
      <protection locked="0"/>
    </xf>
    <xf numFmtId="0" fontId="12" fillId="0" borderId="16" xfId="0" applyNumberFormat="1" applyFont="1" applyFill="1" applyBorder="1" applyAlignment="1" applyProtection="1">
      <alignment horizontal="center" vertical="center" wrapText="1" shrinkToFit="1"/>
      <protection locked="0"/>
    </xf>
    <xf numFmtId="0" fontId="13"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vertical="center" wrapText="1"/>
      <protection/>
    </xf>
    <xf numFmtId="0" fontId="14" fillId="0" borderId="13"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right" vertical="center" wrapText="1" shrinkToFit="1"/>
      <protection locked="0"/>
    </xf>
    <xf numFmtId="49" fontId="14" fillId="0" borderId="10" xfId="0" applyNumberFormat="1" applyFont="1" applyFill="1" applyBorder="1" applyAlignment="1" applyProtection="1">
      <alignment horizontal="right" vertical="center" wrapText="1" shrinkToFit="1"/>
      <protection locked="0"/>
    </xf>
    <xf numFmtId="49" fontId="14" fillId="0" borderId="10" xfId="0" applyNumberFormat="1" applyFont="1" applyFill="1" applyBorder="1" applyAlignment="1" applyProtection="1">
      <alignment horizontal="center" vertical="center" wrapText="1" shrinkToFit="1"/>
      <protection locked="0"/>
    </xf>
    <xf numFmtId="49" fontId="14" fillId="0" borderId="12" xfId="0" applyNumberFormat="1" applyFont="1" applyFill="1" applyBorder="1" applyAlignment="1" applyProtection="1">
      <alignment horizontal="center" vertical="center" wrapText="1" shrinkToFit="1"/>
      <protection locked="0"/>
    </xf>
    <xf numFmtId="49" fontId="14" fillId="0" borderId="14" xfId="0" applyNumberFormat="1" applyFont="1" applyFill="1" applyBorder="1" applyAlignment="1" applyProtection="1">
      <alignment horizontal="center" vertical="center" wrapText="1" shrinkToFit="1"/>
      <protection locked="0"/>
    </xf>
    <xf numFmtId="49" fontId="13" fillId="0" borderId="10" xfId="0" applyNumberFormat="1" applyFont="1" applyFill="1" applyBorder="1" applyAlignment="1" applyProtection="1">
      <alignment horizontal="center" vertical="center" wrapText="1" shrinkToFit="1"/>
      <protection locked="0"/>
    </xf>
    <xf numFmtId="49" fontId="14" fillId="0" borderId="13" xfId="0" applyNumberFormat="1" applyFont="1" applyFill="1" applyBorder="1" applyAlignment="1" applyProtection="1">
      <alignment horizontal="center" vertical="center" wrapText="1" shrinkToFit="1"/>
      <protection locked="0"/>
    </xf>
    <xf numFmtId="49" fontId="14" fillId="0" borderId="10" xfId="0" applyNumberFormat="1" applyFont="1" applyFill="1" applyBorder="1" applyAlignment="1" applyProtection="1">
      <alignment horizontal="center" vertical="center" wrapText="1" shrinkToFit="1"/>
      <protection locked="0"/>
    </xf>
    <xf numFmtId="0" fontId="14" fillId="0" borderId="10" xfId="0" applyNumberFormat="1" applyFont="1" applyFill="1" applyBorder="1" applyAlignment="1" applyProtection="1">
      <alignment horizontal="center" vertical="center" wrapText="1" shrinkToFit="1"/>
      <protection locked="0"/>
    </xf>
    <xf numFmtId="164" fontId="11"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164" fontId="7" fillId="0" borderId="12" xfId="0" applyNumberFormat="1" applyFont="1" applyFill="1" applyBorder="1" applyAlignment="1" applyProtection="1">
      <alignment horizontal="right" vertical="center" wrapText="1" shrinkToFit="1"/>
      <protection locked="0"/>
    </xf>
    <xf numFmtId="164" fontId="7" fillId="0" borderId="14" xfId="0" applyNumberFormat="1" applyFont="1" applyFill="1" applyBorder="1" applyAlignment="1" applyProtection="1">
      <alignment horizontal="right" vertical="center" wrapText="1" shrinkToFit="1"/>
      <protection locked="0"/>
    </xf>
    <xf numFmtId="164" fontId="56" fillId="0" borderId="10"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protection/>
    </xf>
    <xf numFmtId="164" fontId="57" fillId="0" borderId="10" xfId="0" applyNumberFormat="1" applyFont="1" applyFill="1" applyBorder="1" applyAlignment="1" applyProtection="1">
      <alignment horizontal="right" vertical="center" wrapText="1" shrinkToFit="1"/>
      <protection locked="0"/>
    </xf>
    <xf numFmtId="164" fontId="56" fillId="0" borderId="12" xfId="0" applyNumberFormat="1" applyFont="1" applyFill="1" applyBorder="1" applyAlignment="1" applyProtection="1">
      <alignment horizontal="right" vertical="center" wrapText="1" shrinkToFit="1"/>
      <protection locked="0"/>
    </xf>
    <xf numFmtId="164" fontId="7" fillId="0" borderId="13" xfId="0" applyNumberFormat="1" applyFont="1" applyFill="1" applyBorder="1" applyAlignment="1" applyProtection="1">
      <alignment horizontal="right" vertical="center" wrapText="1" shrinkToFit="1"/>
      <protection locked="0"/>
    </xf>
    <xf numFmtId="164" fontId="56" fillId="0" borderId="13" xfId="0" applyNumberFormat="1" applyFont="1" applyFill="1" applyBorder="1" applyAlignment="1" applyProtection="1">
      <alignment horizontal="right" vertical="center" wrapText="1" shrinkToFit="1"/>
      <protection locked="0"/>
    </xf>
    <xf numFmtId="164" fontId="7" fillId="0" borderId="13" xfId="0" applyNumberFormat="1" applyFont="1" applyFill="1" applyBorder="1" applyAlignment="1" applyProtection="1">
      <alignment horizontal="right" vertical="center"/>
      <protection/>
    </xf>
    <xf numFmtId="164" fontId="56" fillId="0" borderId="14" xfId="0" applyNumberFormat="1" applyFont="1" applyFill="1" applyBorder="1" applyAlignment="1" applyProtection="1">
      <alignment horizontal="right" vertical="center" wrapText="1" shrinkToFit="1"/>
      <protection locked="0"/>
    </xf>
    <xf numFmtId="164" fontId="58" fillId="0" borderId="10" xfId="0" applyNumberFormat="1" applyFont="1" applyFill="1" applyBorder="1" applyAlignment="1" applyProtection="1">
      <alignment horizontal="right" vertical="center" wrapText="1" shrinkToFit="1"/>
      <protection locked="0"/>
    </xf>
    <xf numFmtId="164" fontId="7" fillId="0" borderId="10" xfId="53" applyNumberFormat="1" applyFont="1" applyFill="1" applyBorder="1" applyAlignment="1">
      <alignment horizontal="right" vertical="center"/>
      <protection/>
    </xf>
    <xf numFmtId="164" fontId="7" fillId="0" borderId="10" xfId="0" applyNumberFormat="1" applyFont="1" applyFill="1" applyBorder="1" applyAlignment="1" applyProtection="1">
      <alignment horizontal="right" vertical="center"/>
      <protection/>
    </xf>
    <xf numFmtId="164" fontId="7" fillId="0" borderId="10"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center" vertical="center" wrapText="1" shrinkToFit="1"/>
      <protection locked="0"/>
    </xf>
    <xf numFmtId="164" fontId="7" fillId="0" borderId="14" xfId="0" applyNumberFormat="1" applyFont="1" applyFill="1" applyBorder="1" applyAlignment="1" applyProtection="1">
      <alignment horizontal="right" vertical="center"/>
      <protection/>
    </xf>
    <xf numFmtId="14" fontId="12" fillId="0" borderId="10" xfId="0" applyNumberFormat="1" applyFont="1" applyFill="1" applyBorder="1" applyAlignment="1" applyProtection="1">
      <alignment horizontal="center" vertical="center" wrapText="1" shrinkToFit="1"/>
      <protection locked="0"/>
    </xf>
    <xf numFmtId="0" fontId="12" fillId="0" borderId="10" xfId="0" applyNumberFormat="1" applyFont="1" applyFill="1" applyBorder="1" applyAlignment="1" applyProtection="1">
      <alignment horizontal="center" vertical="center" wrapText="1"/>
      <protection/>
    </xf>
    <xf numFmtId="49" fontId="15" fillId="0" borderId="10" xfId="0" applyNumberFormat="1" applyFont="1" applyFill="1" applyBorder="1" applyAlignment="1" applyProtection="1">
      <alignment horizontal="center" vertical="center" wrapText="1" shrinkToFit="1"/>
      <protection locked="0"/>
    </xf>
    <xf numFmtId="0" fontId="12" fillId="0" borderId="15" xfId="0" applyNumberFormat="1" applyFont="1" applyFill="1" applyBorder="1" applyAlignment="1" applyProtection="1">
      <alignment horizontal="left" vertical="center" wrapText="1"/>
      <protection/>
    </xf>
    <xf numFmtId="14" fontId="12" fillId="0" borderId="12" xfId="0" applyNumberFormat="1" applyFont="1" applyFill="1" applyBorder="1" applyAlignment="1" applyProtection="1">
      <alignment horizontal="center" vertical="center" wrapText="1" shrinkToFit="1"/>
      <protection locked="0"/>
    </xf>
    <xf numFmtId="14" fontId="12" fillId="0" borderId="13" xfId="0" applyNumberFormat="1" applyFont="1" applyFill="1" applyBorder="1" applyAlignment="1" applyProtection="1">
      <alignment horizontal="center" vertical="center" wrapText="1" shrinkToFit="1"/>
      <protection locked="0"/>
    </xf>
    <xf numFmtId="49" fontId="15" fillId="0" borderId="13" xfId="0" applyNumberFormat="1" applyFont="1" applyFill="1" applyBorder="1" applyAlignment="1">
      <alignment horizontal="center" vertical="center"/>
    </xf>
    <xf numFmtId="0" fontId="17"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5" fillId="0" borderId="14" xfId="0" applyNumberFormat="1" applyFont="1" applyFill="1" applyBorder="1" applyAlignment="1" applyProtection="1">
      <alignment horizontal="center" vertical="center" wrapText="1"/>
      <protection/>
    </xf>
    <xf numFmtId="164" fontId="57" fillId="0" borderId="10" xfId="0" applyNumberFormat="1" applyFont="1" applyFill="1" applyBorder="1" applyAlignment="1" applyProtection="1">
      <alignment horizontal="right" vertical="center"/>
      <protection/>
    </xf>
    <xf numFmtId="164" fontId="11" fillId="0" borderId="10" xfId="0" applyNumberFormat="1" applyFont="1" applyFill="1" applyBorder="1" applyAlignment="1" applyProtection="1">
      <alignment horizontal="right" vertical="center"/>
      <protection/>
    </xf>
    <xf numFmtId="164" fontId="58" fillId="0" borderId="10" xfId="0" applyNumberFormat="1" applyFont="1" applyFill="1" applyBorder="1" applyAlignment="1" applyProtection="1">
      <alignment horizontal="right" vertical="center"/>
      <protection/>
    </xf>
    <xf numFmtId="164" fontId="57" fillId="0" borderId="10" xfId="53" applyNumberFormat="1" applyFont="1" applyFill="1" applyBorder="1" applyAlignment="1">
      <alignment horizontal="right" vertical="center"/>
      <protection/>
    </xf>
    <xf numFmtId="0" fontId="12" fillId="0" borderId="12" xfId="0" applyNumberFormat="1" applyFont="1" applyFill="1" applyBorder="1" applyAlignment="1" applyProtection="1">
      <alignment horizontal="left" vertical="center" wrapText="1"/>
      <protection/>
    </xf>
    <xf numFmtId="0" fontId="12" fillId="0" borderId="17" xfId="0" applyNumberFormat="1" applyFont="1" applyFill="1" applyBorder="1" applyAlignment="1" applyProtection="1">
      <alignment horizontal="center" vertical="center" wrapText="1" shrinkToFit="1"/>
      <protection locked="0"/>
    </xf>
    <xf numFmtId="0" fontId="12" fillId="0" borderId="18" xfId="0" applyNumberFormat="1" applyFont="1" applyFill="1" applyBorder="1" applyAlignment="1" applyProtection="1">
      <alignment horizontal="center" vertical="center" wrapText="1" shrinkToFit="1"/>
      <protection locked="0"/>
    </xf>
    <xf numFmtId="0" fontId="12" fillId="0" borderId="19" xfId="0" applyNumberFormat="1" applyFont="1" applyFill="1" applyBorder="1" applyAlignment="1" applyProtection="1">
      <alignment horizontal="center" vertical="center" wrapText="1" shrinkToFit="1"/>
      <protection locked="0"/>
    </xf>
    <xf numFmtId="0" fontId="12" fillId="0" borderId="20" xfId="0" applyNumberFormat="1" applyFont="1" applyFill="1" applyBorder="1" applyAlignment="1" applyProtection="1">
      <alignment horizontal="center" vertical="center" wrapText="1" shrinkToFit="1"/>
      <protection locked="0"/>
    </xf>
    <xf numFmtId="0" fontId="12" fillId="0" borderId="21" xfId="0" applyNumberFormat="1" applyFont="1" applyFill="1" applyBorder="1" applyAlignment="1" applyProtection="1">
      <alignment horizontal="center" vertical="center" wrapText="1" shrinkToFit="1"/>
      <protection locked="0"/>
    </xf>
    <xf numFmtId="0" fontId="17" fillId="0" borderId="10" xfId="0" applyNumberFormat="1" applyFont="1" applyFill="1" applyBorder="1" applyAlignment="1" applyProtection="1">
      <alignment horizontal="left" vertical="top" wrapText="1"/>
      <protection/>
    </xf>
    <xf numFmtId="0" fontId="17" fillId="0" borderId="0" xfId="53" applyFont="1" applyFill="1">
      <alignment/>
      <protection/>
    </xf>
    <xf numFmtId="0" fontId="4"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top" wrapText="1"/>
      <protection/>
    </xf>
    <xf numFmtId="0" fontId="17" fillId="0" borderId="10" xfId="0" applyNumberFormat="1" applyFont="1" applyFill="1" applyBorder="1" applyAlignment="1" applyProtection="1">
      <alignment horizontal="center" vertical="center" wrapText="1"/>
      <protection/>
    </xf>
    <xf numFmtId="4" fontId="17" fillId="0" borderId="10" xfId="0" applyNumberFormat="1" applyFont="1" applyFill="1" applyBorder="1" applyAlignment="1" applyProtection="1">
      <alignment horizontal="right" vertical="center"/>
      <protection/>
    </xf>
    <xf numFmtId="0" fontId="0" fillId="0" borderId="0" xfId="0" applyFont="1" applyFill="1" applyAlignment="1">
      <alignment/>
    </xf>
    <xf numFmtId="4" fontId="0" fillId="0" borderId="0" xfId="0" applyNumberFormat="1" applyFont="1" applyFill="1" applyAlignment="1">
      <alignment/>
    </xf>
    <xf numFmtId="0" fontId="5" fillId="0" borderId="13" xfId="0" applyNumberFormat="1" applyFont="1" applyFill="1" applyBorder="1" applyAlignment="1" applyProtection="1">
      <alignment horizontal="center" vertical="center" wrapText="1" shrinkToFit="1"/>
      <protection locked="0"/>
    </xf>
    <xf numFmtId="164" fontId="16" fillId="0" borderId="10" xfId="0" applyNumberFormat="1" applyFont="1" applyFill="1" applyBorder="1" applyAlignment="1" applyProtection="1">
      <alignment horizontal="right" vertical="center"/>
      <protection/>
    </xf>
    <xf numFmtId="14" fontId="5" fillId="0" borderId="12" xfId="0" applyNumberFormat="1" applyFont="1" applyFill="1" applyBorder="1" applyAlignment="1" applyProtection="1">
      <alignment horizontal="center" vertical="center" wrapText="1" shrinkToFit="1"/>
      <protection locked="0"/>
    </xf>
    <xf numFmtId="14" fontId="5" fillId="0" borderId="13"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left" vertical="center" wrapText="1"/>
      <protection/>
    </xf>
    <xf numFmtId="49" fontId="14" fillId="0" borderId="14" xfId="0" applyNumberFormat="1" applyFont="1" applyFill="1" applyBorder="1" applyAlignment="1">
      <alignment horizontal="center" vertical="center" wrapText="1" shrinkToFit="1"/>
    </xf>
    <xf numFmtId="49" fontId="14" fillId="0" borderId="14" xfId="0" applyNumberFormat="1" applyFont="1" applyFill="1" applyBorder="1" applyAlignment="1" applyProtection="1">
      <alignment vertical="center" wrapText="1" shrinkToFit="1"/>
      <protection locked="0"/>
    </xf>
    <xf numFmtId="49" fontId="14" fillId="0" borderId="12" xfId="0" applyNumberFormat="1" applyFont="1" applyFill="1" applyBorder="1" applyAlignment="1" applyProtection="1">
      <alignment vertical="center" wrapText="1" shrinkToFit="1"/>
      <protection locked="0"/>
    </xf>
    <xf numFmtId="49" fontId="14" fillId="0" borderId="13" xfId="0" applyNumberFormat="1" applyFont="1" applyFill="1" applyBorder="1" applyAlignment="1" applyProtection="1">
      <alignment vertical="center" wrapText="1" shrinkToFit="1"/>
      <protection locked="0"/>
    </xf>
    <xf numFmtId="0" fontId="13" fillId="0" borderId="12" xfId="0" applyNumberFormat="1" applyFont="1" applyFill="1" applyBorder="1" applyAlignment="1" applyProtection="1">
      <alignment horizontal="center" vertical="center" wrapText="1"/>
      <protection/>
    </xf>
    <xf numFmtId="0" fontId="12" fillId="0" borderId="10" xfId="53" applyNumberFormat="1" applyFont="1" applyFill="1" applyBorder="1" applyAlignment="1">
      <alignment horizontal="center" vertical="center" wrapText="1"/>
      <protection/>
    </xf>
    <xf numFmtId="0" fontId="10" fillId="0" borderId="10" xfId="0" applyFont="1" applyFill="1" applyBorder="1" applyAlignment="1">
      <alignment horizontal="center" vertical="center"/>
    </xf>
    <xf numFmtId="0" fontId="12" fillId="0" borderId="14" xfId="0" applyNumberFormat="1" applyFont="1" applyFill="1" applyBorder="1" applyAlignment="1" applyProtection="1">
      <alignment horizontal="center" vertical="center" wrapText="1" shrinkToFit="1"/>
      <protection locked="0"/>
    </xf>
    <xf numFmtId="0" fontId="5" fillId="0" borderId="14" xfId="0" applyNumberFormat="1" applyFont="1" applyFill="1" applyBorder="1" applyAlignment="1" applyProtection="1">
      <alignment horizontal="left" vertical="center" wrapText="1"/>
      <protection/>
    </xf>
    <xf numFmtId="164" fontId="57" fillId="0" borderId="12" xfId="0" applyNumberFormat="1" applyFont="1" applyFill="1" applyBorder="1" applyAlignment="1" applyProtection="1">
      <alignment horizontal="right" vertical="center" wrapText="1" shrinkToFit="1"/>
      <protection locked="0"/>
    </xf>
    <xf numFmtId="164" fontId="57" fillId="0" borderId="13" xfId="0" applyNumberFormat="1" applyFont="1" applyFill="1" applyBorder="1" applyAlignment="1" applyProtection="1">
      <alignment horizontal="right" vertical="center" wrapText="1" shrinkToFit="1"/>
      <protection locked="0"/>
    </xf>
    <xf numFmtId="0" fontId="14" fillId="0" borderId="13" xfId="0" applyNumberFormat="1" applyFont="1" applyFill="1" applyBorder="1" applyAlignment="1" applyProtection="1">
      <alignment vertical="center" wrapText="1"/>
      <protection/>
    </xf>
    <xf numFmtId="0" fontId="14" fillId="0" borderId="14" xfId="0" applyNumberFormat="1" applyFont="1" applyFill="1" applyBorder="1" applyAlignment="1" applyProtection="1">
      <alignment vertical="center" wrapText="1"/>
      <protection/>
    </xf>
    <xf numFmtId="14" fontId="12" fillId="0" borderId="14" xfId="0" applyNumberFormat="1" applyFont="1" applyFill="1" applyBorder="1" applyAlignment="1" applyProtection="1">
      <alignment horizontal="center" vertical="center" wrapText="1" shrinkToFit="1"/>
      <protection locked="0"/>
    </xf>
    <xf numFmtId="0" fontId="5"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164" fontId="7" fillId="0" borderId="12" xfId="0" applyNumberFormat="1" applyFont="1" applyFill="1" applyBorder="1" applyAlignment="1" applyProtection="1">
      <alignment horizontal="right" vertical="center" wrapText="1" shrinkToFit="1"/>
      <protection locked="0"/>
    </xf>
    <xf numFmtId="164" fontId="7" fillId="0" borderId="13"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protection/>
    </xf>
    <xf numFmtId="164" fontId="7" fillId="0" borderId="13" xfId="0" applyNumberFormat="1" applyFont="1" applyFill="1" applyBorder="1" applyAlignment="1" applyProtection="1">
      <alignment horizontal="right" vertical="center"/>
      <protection/>
    </xf>
    <xf numFmtId="164" fontId="7" fillId="0" borderId="14" xfId="0" applyNumberFormat="1" applyFont="1" applyFill="1" applyBorder="1" applyAlignment="1" applyProtection="1">
      <alignment horizontal="right"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0" fontId="5" fillId="0" borderId="14"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164" fontId="7" fillId="0" borderId="14" xfId="0" applyNumberFormat="1" applyFont="1" applyFill="1" applyBorder="1" applyAlignment="1" applyProtection="1">
      <alignment horizontal="right" vertical="center"/>
      <protection/>
    </xf>
    <xf numFmtId="14" fontId="5" fillId="0" borderId="12" xfId="0" applyNumberFormat="1" applyFont="1" applyFill="1" applyBorder="1" applyAlignment="1" applyProtection="1">
      <alignment horizontal="center" vertical="center" wrapText="1" shrinkToFit="1"/>
      <protection locked="0"/>
    </xf>
    <xf numFmtId="14" fontId="5" fillId="0" borderId="14" xfId="0" applyNumberFormat="1" applyFont="1" applyFill="1" applyBorder="1" applyAlignment="1" applyProtection="1">
      <alignment horizontal="center" vertical="center" wrapText="1" shrinkToFit="1"/>
      <protection locked="0"/>
    </xf>
    <xf numFmtId="14"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49" fontId="14" fillId="0" borderId="12" xfId="0" applyNumberFormat="1" applyFont="1" applyFill="1" applyBorder="1" applyAlignment="1" applyProtection="1">
      <alignment horizontal="center" vertical="center" wrapText="1" shrinkToFit="1"/>
      <protection locked="0"/>
    </xf>
    <xf numFmtId="49" fontId="14" fillId="0" borderId="14" xfId="0" applyNumberFormat="1" applyFont="1" applyFill="1" applyBorder="1" applyAlignment="1" applyProtection="1">
      <alignment horizontal="center" vertical="center" wrapText="1" shrinkToFit="1"/>
      <protection locked="0"/>
    </xf>
    <xf numFmtId="49" fontId="14" fillId="0" borderId="13" xfId="0" applyNumberFormat="1" applyFont="1" applyFill="1" applyBorder="1" applyAlignment="1" applyProtection="1">
      <alignment horizontal="center" vertical="center" wrapText="1" shrinkToFit="1"/>
      <protection locked="0"/>
    </xf>
    <xf numFmtId="0" fontId="14" fillId="0" borderId="12" xfId="0" applyNumberFormat="1" applyFont="1" applyFill="1" applyBorder="1" applyAlignment="1" applyProtection="1">
      <alignment horizontal="center" wrapText="1"/>
      <protection/>
    </xf>
    <xf numFmtId="0" fontId="14" fillId="0" borderId="14" xfId="0" applyNumberFormat="1" applyFont="1" applyFill="1" applyBorder="1" applyAlignment="1" applyProtection="1">
      <alignment horizontal="center" wrapText="1"/>
      <protection/>
    </xf>
    <xf numFmtId="0" fontId="14" fillId="0" borderId="13" xfId="0" applyNumberFormat="1" applyFont="1" applyFill="1" applyBorder="1" applyAlignment="1" applyProtection="1">
      <alignment horizont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shrinkToFit="1"/>
      <protection locked="0"/>
    </xf>
    <xf numFmtId="0" fontId="12" fillId="0" borderId="12"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left" vertical="center" wrapText="1"/>
      <protection/>
    </xf>
    <xf numFmtId="0" fontId="14" fillId="0" borderId="22" xfId="0" applyNumberFormat="1" applyFont="1" applyFill="1" applyBorder="1" applyAlignment="1" applyProtection="1">
      <alignment horizontal="center" vertical="center" wrapText="1"/>
      <protection/>
    </xf>
    <xf numFmtId="0" fontId="14" fillId="0" borderId="23"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left" vertical="center" wrapText="1"/>
      <protection/>
    </xf>
    <xf numFmtId="0" fontId="12" fillId="0" borderId="19" xfId="0" applyNumberFormat="1" applyFont="1" applyFill="1" applyBorder="1" applyAlignment="1" applyProtection="1">
      <alignment horizontal="left" vertical="center" wrapText="1"/>
      <protection/>
    </xf>
    <xf numFmtId="14" fontId="5" fillId="0" borderId="10" xfId="0" applyNumberFormat="1" applyFont="1" applyFill="1" applyBorder="1" applyAlignment="1" applyProtection="1">
      <alignment horizontal="center" vertical="center" wrapText="1" shrinkToFit="1"/>
      <protection locked="0"/>
    </xf>
    <xf numFmtId="0" fontId="5" fillId="0" borderId="22" xfId="0" applyNumberFormat="1" applyFont="1" applyFill="1" applyBorder="1" applyAlignment="1" applyProtection="1">
      <alignment horizontal="center" vertical="center" wrapText="1" shrinkToFit="1"/>
      <protection locked="0"/>
    </xf>
    <xf numFmtId="0" fontId="5" fillId="0" borderId="24" xfId="0" applyNumberFormat="1" applyFont="1" applyFill="1" applyBorder="1" applyAlignment="1" applyProtection="1">
      <alignment horizontal="center" vertical="center" wrapText="1" shrinkToFit="1"/>
      <protection locked="0"/>
    </xf>
    <xf numFmtId="0" fontId="5" fillId="0" borderId="2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14" fillId="0" borderId="10"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center" vertical="center" wrapText="1" shrinkToFit="1"/>
      <protection locked="0"/>
    </xf>
    <xf numFmtId="0" fontId="12" fillId="0" borderId="26" xfId="0" applyNumberFormat="1" applyFont="1" applyFill="1" applyBorder="1" applyAlignment="1" applyProtection="1">
      <alignment horizontal="center" vertical="center" wrapText="1" shrinkToFit="1"/>
      <protection locked="0"/>
    </xf>
    <xf numFmtId="0" fontId="12" fillId="0" borderId="10"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top"/>
      <protection/>
    </xf>
    <xf numFmtId="49" fontId="14" fillId="0" borderId="10" xfId="0" applyNumberFormat="1" applyFont="1" applyFill="1" applyBorder="1" applyAlignment="1" applyProtection="1">
      <alignment horizontal="center" vertical="center" wrapText="1" shrinkToFit="1"/>
      <protection locked="0"/>
    </xf>
    <xf numFmtId="0" fontId="5" fillId="0" borderId="1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shrinkToFit="1"/>
      <protection locked="0"/>
    </xf>
    <xf numFmtId="0" fontId="12" fillId="0" borderId="14" xfId="0" applyNumberFormat="1" applyFont="1" applyFill="1" applyBorder="1" applyAlignment="1" applyProtection="1">
      <alignment horizontal="center" vertical="center" wrapText="1" shrinkToFit="1"/>
      <protection locked="0"/>
    </xf>
    <xf numFmtId="0" fontId="9" fillId="0" borderId="0" xfId="0" applyNumberFormat="1" applyFont="1" applyFill="1" applyBorder="1" applyAlignment="1" applyProtection="1">
      <alignment horizontal="center" vertical="top" wrapText="1"/>
      <protection/>
    </xf>
    <xf numFmtId="0" fontId="12" fillId="0" borderId="27" xfId="0" applyNumberFormat="1" applyFont="1" applyFill="1" applyBorder="1" applyAlignment="1" applyProtection="1">
      <alignment horizontal="center" vertical="center" wrapText="1" shrinkToFit="1"/>
      <protection locked="0"/>
    </xf>
    <xf numFmtId="0" fontId="12" fillId="0" borderId="28" xfId="0" applyNumberFormat="1" applyFont="1" applyFill="1" applyBorder="1" applyAlignment="1" applyProtection="1">
      <alignment horizontal="center" vertical="center" wrapText="1" shrinkToFit="1"/>
      <protection locked="0"/>
    </xf>
    <xf numFmtId="0" fontId="13" fillId="0" borderId="12"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0" fillId="0" borderId="13" xfId="0" applyFill="1" applyBorder="1" applyAlignment="1">
      <alignment horizontal="center" vertical="center"/>
    </xf>
    <xf numFmtId="0" fontId="12" fillId="0" borderId="13" xfId="0" applyNumberFormat="1" applyFont="1" applyFill="1" applyBorder="1" applyAlignment="1" applyProtection="1">
      <alignment horizontal="center" vertical="center" wrapText="1" shrinkToFit="1"/>
      <protection locked="0"/>
    </xf>
    <xf numFmtId="0" fontId="14" fillId="0" borderId="12"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14" fontId="12" fillId="0" borderId="12" xfId="0" applyNumberFormat="1" applyFont="1" applyFill="1" applyBorder="1" applyAlignment="1" applyProtection="1">
      <alignment horizontal="center" vertical="center" wrapText="1" shrinkToFit="1"/>
      <protection locked="0"/>
    </xf>
    <xf numFmtId="14" fontId="12" fillId="0" borderId="14" xfId="0" applyNumberFormat="1" applyFont="1" applyFill="1" applyBorder="1" applyAlignment="1" applyProtection="1">
      <alignment horizontal="center" vertical="center" wrapText="1" shrinkToFit="1"/>
      <protection locked="0"/>
    </xf>
    <xf numFmtId="14" fontId="12" fillId="0" borderId="13" xfId="0" applyNumberFormat="1" applyFont="1" applyFill="1" applyBorder="1" applyAlignment="1" applyProtection="1">
      <alignment horizontal="center" vertical="center" wrapText="1" shrinkToFit="1"/>
      <protection locked="0"/>
    </xf>
    <xf numFmtId="0" fontId="4" fillId="0" borderId="29"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center" vertical="center" wrapText="1"/>
      <protection/>
    </xf>
    <xf numFmtId="0" fontId="4" fillId="0" borderId="31" xfId="0" applyNumberFormat="1" applyFont="1" applyFill="1" applyBorder="1" applyAlignment="1" applyProtection="1">
      <alignment horizontal="center" vertical="center" wrapText="1"/>
      <protection/>
    </xf>
    <xf numFmtId="0" fontId="5" fillId="0" borderId="10" xfId="53" applyFont="1" applyFill="1" applyBorder="1" applyAlignment="1">
      <alignment horizontal="center" vertical="center" wrapText="1"/>
      <protection/>
    </xf>
    <xf numFmtId="0" fontId="4" fillId="0" borderId="32" xfId="0" applyNumberFormat="1" applyFont="1" applyFill="1" applyBorder="1" applyAlignment="1" applyProtection="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97"/>
  <sheetViews>
    <sheetView tabSelected="1"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A1" sqref="A1:R1"/>
    </sheetView>
  </sheetViews>
  <sheetFormatPr defaultColWidth="9.00390625" defaultRowHeight="12.75" outlineLevelRow="1" outlineLevelCol="1"/>
  <cols>
    <col min="1" max="1" width="3.75390625" style="9" customWidth="1"/>
    <col min="2" max="2" width="30.125" style="9" customWidth="1"/>
    <col min="3" max="3" width="0.12890625" style="9" hidden="1" customWidth="1"/>
    <col min="4" max="4" width="3.125" style="9" customWidth="1"/>
    <col min="5" max="5" width="21.875" style="9" customWidth="1"/>
    <col min="6" max="6" width="5.625" style="9" customWidth="1"/>
    <col min="7" max="7" width="9.25390625" style="9" customWidth="1"/>
    <col min="8" max="8" width="27.75390625" style="9" customWidth="1"/>
    <col min="9" max="9" width="5.625" style="9" customWidth="1"/>
    <col min="10" max="10" width="9.00390625" style="9" customWidth="1"/>
    <col min="11" max="11" width="40.00390625" style="9" customWidth="1"/>
    <col min="12" max="12" width="6.00390625" style="9" customWidth="1" outlineLevel="1"/>
    <col min="13" max="14" width="8.875" style="9" customWidth="1" outlineLevel="1"/>
    <col min="15" max="15" width="8.00390625" style="9" customWidth="1" outlineLevel="1"/>
    <col min="16" max="16" width="8.875" style="9" customWidth="1"/>
    <col min="17" max="17" width="7.625" style="9" customWidth="1"/>
    <col min="18" max="18" width="7.75390625" style="9" customWidth="1"/>
    <col min="19" max="19" width="7.625" style="1" customWidth="1"/>
    <col min="20" max="16384" width="9.125" style="1" customWidth="1"/>
  </cols>
  <sheetData>
    <row r="1" spans="1:18" ht="37.5" customHeight="1">
      <c r="A1" s="189" t="s">
        <v>1051</v>
      </c>
      <c r="B1" s="189"/>
      <c r="C1" s="189"/>
      <c r="D1" s="189"/>
      <c r="E1" s="189"/>
      <c r="F1" s="189"/>
      <c r="G1" s="189"/>
      <c r="H1" s="189"/>
      <c r="I1" s="189"/>
      <c r="J1" s="189"/>
      <c r="K1" s="189"/>
      <c r="L1" s="189"/>
      <c r="M1" s="189"/>
      <c r="N1" s="189"/>
      <c r="O1" s="189"/>
      <c r="P1" s="189"/>
      <c r="Q1" s="189"/>
      <c r="R1" s="189"/>
    </row>
    <row r="2" spans="1:19" s="2" customFormat="1" ht="42" customHeight="1">
      <c r="A2" s="181" t="s">
        <v>259</v>
      </c>
      <c r="B2" s="181"/>
      <c r="C2" s="41"/>
      <c r="D2" s="181" t="s">
        <v>189</v>
      </c>
      <c r="E2" s="181" t="s">
        <v>302</v>
      </c>
      <c r="F2" s="181"/>
      <c r="G2" s="181"/>
      <c r="H2" s="181" t="s">
        <v>303</v>
      </c>
      <c r="I2" s="181"/>
      <c r="J2" s="181"/>
      <c r="K2" s="181" t="s">
        <v>164</v>
      </c>
      <c r="L2" s="181"/>
      <c r="M2" s="181"/>
      <c r="N2" s="181" t="s">
        <v>895</v>
      </c>
      <c r="O2" s="181"/>
      <c r="P2" s="181" t="s">
        <v>896</v>
      </c>
      <c r="Q2" s="204" t="s">
        <v>165</v>
      </c>
      <c r="R2" s="205"/>
      <c r="S2" s="206"/>
    </row>
    <row r="3" spans="1:19" s="2" customFormat="1" ht="92.25" customHeight="1">
      <c r="A3" s="181"/>
      <c r="B3" s="181"/>
      <c r="C3" s="41"/>
      <c r="D3" s="181"/>
      <c r="E3" s="15" t="s">
        <v>166</v>
      </c>
      <c r="F3" s="15" t="s">
        <v>279</v>
      </c>
      <c r="G3" s="15" t="s">
        <v>280</v>
      </c>
      <c r="H3" s="15" t="s">
        <v>166</v>
      </c>
      <c r="I3" s="15" t="s">
        <v>279</v>
      </c>
      <c r="J3" s="15" t="s">
        <v>280</v>
      </c>
      <c r="K3" s="15" t="s">
        <v>166</v>
      </c>
      <c r="L3" s="15" t="s">
        <v>279</v>
      </c>
      <c r="M3" s="15" t="s">
        <v>402</v>
      </c>
      <c r="N3" s="15" t="s">
        <v>281</v>
      </c>
      <c r="O3" s="15" t="s">
        <v>275</v>
      </c>
      <c r="P3" s="181"/>
      <c r="Q3" s="15" t="s">
        <v>897</v>
      </c>
      <c r="R3" s="15" t="s">
        <v>898</v>
      </c>
      <c r="S3" s="15" t="s">
        <v>1053</v>
      </c>
    </row>
    <row r="4" spans="1:19" s="2" customFormat="1" ht="12.75" customHeight="1">
      <c r="A4" s="15" t="s">
        <v>276</v>
      </c>
      <c r="B4" s="15"/>
      <c r="C4" s="15" t="s">
        <v>277</v>
      </c>
      <c r="D4" s="15" t="s">
        <v>127</v>
      </c>
      <c r="E4" s="15" t="s">
        <v>128</v>
      </c>
      <c r="F4" s="15" t="s">
        <v>129</v>
      </c>
      <c r="G4" s="15" t="s">
        <v>130</v>
      </c>
      <c r="H4" s="15" t="s">
        <v>131</v>
      </c>
      <c r="I4" s="15" t="s">
        <v>132</v>
      </c>
      <c r="J4" s="15" t="s">
        <v>133</v>
      </c>
      <c r="K4" s="15" t="s">
        <v>134</v>
      </c>
      <c r="L4" s="15" t="s">
        <v>135</v>
      </c>
      <c r="M4" s="15" t="s">
        <v>136</v>
      </c>
      <c r="N4" s="15" t="s">
        <v>104</v>
      </c>
      <c r="O4" s="15" t="s">
        <v>105</v>
      </c>
      <c r="P4" s="15" t="s">
        <v>106</v>
      </c>
      <c r="Q4" s="15" t="s">
        <v>54</v>
      </c>
      <c r="R4" s="42" t="s">
        <v>403</v>
      </c>
      <c r="S4" s="42" t="s">
        <v>1052</v>
      </c>
    </row>
    <row r="5" spans="1:19" s="2" customFormat="1" ht="24" customHeight="1">
      <c r="A5" s="53" t="s">
        <v>335</v>
      </c>
      <c r="B5" s="18" t="s">
        <v>336</v>
      </c>
      <c r="C5" s="16"/>
      <c r="D5" s="59"/>
      <c r="E5" s="7"/>
      <c r="F5" s="7"/>
      <c r="G5" s="7"/>
      <c r="H5" s="7"/>
      <c r="I5" s="7"/>
      <c r="J5" s="7"/>
      <c r="K5" s="7"/>
      <c r="L5" s="7"/>
      <c r="M5" s="7"/>
      <c r="N5" s="27"/>
      <c r="O5" s="27"/>
      <c r="P5" s="27"/>
      <c r="Q5" s="27"/>
      <c r="R5" s="19"/>
      <c r="S5" s="19"/>
    </row>
    <row r="6" spans="1:19" s="2" customFormat="1" ht="22.5" customHeight="1">
      <c r="A6" s="53" t="s">
        <v>4</v>
      </c>
      <c r="B6" s="30" t="s">
        <v>359</v>
      </c>
      <c r="C6" s="16"/>
      <c r="D6" s="60"/>
      <c r="E6" s="7"/>
      <c r="F6" s="7"/>
      <c r="G6" s="7"/>
      <c r="H6" s="7"/>
      <c r="I6" s="7"/>
      <c r="J6" s="7"/>
      <c r="K6" s="7"/>
      <c r="L6" s="7"/>
      <c r="M6" s="7"/>
      <c r="N6" s="68">
        <f>N7+N20+N25+N28+N29+N36+N40+N44+N49+N57+N67+N122+N147+N153+N159+N163+N166+N172+N177+N182</f>
        <v>509117.7754200001</v>
      </c>
      <c r="O6" s="68">
        <f>O7+O20+O25+O28+O29+O36+O40+O44+O49+O57+O67+O122+O147+O153+O159+O163+O166+O172+O177+O182</f>
        <v>497960.31009000004</v>
      </c>
      <c r="P6" s="68">
        <f>P7+P20+P25+P28+P29+P36+P40+P44+P49+P57+P67+P122+P147+P153+P159+P163+P166+P172+P177+P182+P189+P194</f>
        <v>473229.98429000005</v>
      </c>
      <c r="Q6" s="68">
        <f>Q7+Q20+Q25+Q28+Q29+Q36+Q40+Q44+Q49+Q57+Q67+Q122+Q147+Q153+Q159+Q163+Q166+Q172+Q177+Q182+Q189+Q194</f>
        <v>407327.60000000003</v>
      </c>
      <c r="R6" s="68">
        <f>R7+R20+R25+R28+R29+R36+R40+R44+R49+R57+R67+R122+R147+R153+R159+R163+R166+R172+R177+R182+R189+R194</f>
        <v>423561.5</v>
      </c>
      <c r="S6" s="68">
        <f>S7+S20+S25+S28+S29+S36+S40+S44+S49+S57+S67+S122+S147+S153+S159+S163+S166+S172+S177+S182+S189+S194</f>
        <v>446045.5000000001</v>
      </c>
    </row>
    <row r="7" spans="1:19" s="2" customFormat="1" ht="22.5" customHeight="1">
      <c r="A7" s="53" t="s">
        <v>42</v>
      </c>
      <c r="B7" s="30" t="s">
        <v>282</v>
      </c>
      <c r="C7" s="16"/>
      <c r="D7" s="60"/>
      <c r="E7" s="7"/>
      <c r="F7" s="7"/>
      <c r="G7" s="7"/>
      <c r="H7" s="7"/>
      <c r="I7" s="7"/>
      <c r="J7" s="7"/>
      <c r="K7" s="7"/>
      <c r="L7" s="7"/>
      <c r="M7" s="7"/>
      <c r="N7" s="68">
        <f aca="true" t="shared" si="0" ref="N7:S7">SUM(N8:N19)</f>
        <v>61079.258100000014</v>
      </c>
      <c r="O7" s="68">
        <f t="shared" si="0"/>
        <v>59671.1939</v>
      </c>
      <c r="P7" s="68">
        <f t="shared" si="0"/>
        <v>63592.22027</v>
      </c>
      <c r="Q7" s="68">
        <f t="shared" si="0"/>
        <v>71184.50000000001</v>
      </c>
      <c r="R7" s="68">
        <f t="shared" si="0"/>
        <v>74346</v>
      </c>
      <c r="S7" s="68">
        <f t="shared" si="0"/>
        <v>78555.49999999999</v>
      </c>
    </row>
    <row r="8" spans="1:19" s="3" customFormat="1" ht="61.5" customHeight="1">
      <c r="A8" s="54"/>
      <c r="B8" s="11" t="s">
        <v>352</v>
      </c>
      <c r="C8" s="12"/>
      <c r="D8" s="61" t="s">
        <v>353</v>
      </c>
      <c r="E8" s="7" t="s">
        <v>47</v>
      </c>
      <c r="F8" s="7" t="s">
        <v>15</v>
      </c>
      <c r="G8" s="10" t="s">
        <v>242</v>
      </c>
      <c r="H8" s="7"/>
      <c r="I8" s="7"/>
      <c r="J8" s="7"/>
      <c r="K8" s="7" t="s">
        <v>989</v>
      </c>
      <c r="L8" s="7"/>
      <c r="M8" s="7"/>
      <c r="N8" s="69">
        <f>(1700267.81+127978.94)/1000</f>
        <v>1828.24675</v>
      </c>
      <c r="O8" s="69">
        <f>1817155.95/1000</f>
        <v>1817.1559499999998</v>
      </c>
      <c r="P8" s="69">
        <f>(1911800+199700)/1000</f>
        <v>2111.5</v>
      </c>
      <c r="Q8" s="69">
        <v>2331.8</v>
      </c>
      <c r="R8" s="70">
        <v>2453</v>
      </c>
      <c r="S8" s="70">
        <v>2573.2</v>
      </c>
    </row>
    <row r="9" spans="1:19" s="3" customFormat="1" ht="30" customHeight="1">
      <c r="A9" s="158"/>
      <c r="B9" s="149" t="s">
        <v>243</v>
      </c>
      <c r="C9" s="12"/>
      <c r="D9" s="62" t="s">
        <v>152</v>
      </c>
      <c r="E9" s="142" t="s">
        <v>47</v>
      </c>
      <c r="F9" s="142" t="s">
        <v>15</v>
      </c>
      <c r="G9" s="146" t="s">
        <v>242</v>
      </c>
      <c r="H9" s="142" t="s">
        <v>301</v>
      </c>
      <c r="I9" s="142" t="s">
        <v>299</v>
      </c>
      <c r="J9" s="142" t="s">
        <v>154</v>
      </c>
      <c r="K9" s="142" t="s">
        <v>95</v>
      </c>
      <c r="L9" s="142" t="s">
        <v>35</v>
      </c>
      <c r="M9" s="142" t="s">
        <v>36</v>
      </c>
      <c r="N9" s="71">
        <f>1864072.12/1000</f>
        <v>1864.07212</v>
      </c>
      <c r="O9" s="71">
        <f>1828271.39/1000</f>
        <v>1828.2713899999999</v>
      </c>
      <c r="P9" s="71">
        <v>2218.4</v>
      </c>
      <c r="Q9" s="137">
        <v>45681.9</v>
      </c>
      <c r="R9" s="139">
        <v>48057.3</v>
      </c>
      <c r="S9" s="139">
        <v>50412.2</v>
      </c>
    </row>
    <row r="10" spans="1:19" s="3" customFormat="1" ht="30" customHeight="1">
      <c r="A10" s="160"/>
      <c r="B10" s="150"/>
      <c r="C10" s="12"/>
      <c r="D10" s="153" t="s">
        <v>244</v>
      </c>
      <c r="E10" s="143"/>
      <c r="F10" s="143"/>
      <c r="G10" s="147"/>
      <c r="H10" s="143"/>
      <c r="I10" s="143"/>
      <c r="J10" s="143"/>
      <c r="K10" s="143"/>
      <c r="L10" s="143"/>
      <c r="M10" s="143"/>
      <c r="N10" s="141">
        <f>38098529/1000</f>
        <v>38098.529</v>
      </c>
      <c r="O10" s="141">
        <f>37576708.75/1000</f>
        <v>37576.70875</v>
      </c>
      <c r="P10" s="141">
        <f>39477200/1000</f>
        <v>39477.2</v>
      </c>
      <c r="Q10" s="141"/>
      <c r="R10" s="145"/>
      <c r="S10" s="145"/>
    </row>
    <row r="11" spans="1:19" s="3" customFormat="1" ht="74.25" customHeight="1">
      <c r="A11" s="160"/>
      <c r="B11" s="129"/>
      <c r="C11" s="195"/>
      <c r="D11" s="153"/>
      <c r="E11" s="37" t="s">
        <v>288</v>
      </c>
      <c r="F11" s="37" t="s">
        <v>289</v>
      </c>
      <c r="G11" s="37" t="s">
        <v>291</v>
      </c>
      <c r="H11" s="143" t="s">
        <v>320</v>
      </c>
      <c r="I11" s="143" t="s">
        <v>143</v>
      </c>
      <c r="J11" s="143" t="s">
        <v>239</v>
      </c>
      <c r="K11" s="143" t="s">
        <v>877</v>
      </c>
      <c r="L11" s="143" t="s">
        <v>287</v>
      </c>
      <c r="M11" s="143" t="s">
        <v>46</v>
      </c>
      <c r="N11" s="141"/>
      <c r="O11" s="141"/>
      <c r="P11" s="141"/>
      <c r="Q11" s="141"/>
      <c r="R11" s="145"/>
      <c r="S11" s="145"/>
    </row>
    <row r="12" spans="1:19" s="3" customFormat="1" ht="141.75" customHeight="1">
      <c r="A12" s="159"/>
      <c r="B12" s="120"/>
      <c r="C12" s="186"/>
      <c r="D12" s="124" t="s">
        <v>364</v>
      </c>
      <c r="E12" s="38" t="s">
        <v>57</v>
      </c>
      <c r="F12" s="38" t="s">
        <v>290</v>
      </c>
      <c r="G12" s="38" t="s">
        <v>142</v>
      </c>
      <c r="H12" s="196"/>
      <c r="I12" s="144"/>
      <c r="J12" s="144"/>
      <c r="K12" s="144"/>
      <c r="L12" s="144"/>
      <c r="M12" s="144"/>
      <c r="N12" s="72">
        <f>75618.11/1000</f>
        <v>75.61811</v>
      </c>
      <c r="O12" s="72">
        <v>0</v>
      </c>
      <c r="P12" s="72">
        <v>0</v>
      </c>
      <c r="Q12" s="72">
        <v>0</v>
      </c>
      <c r="R12" s="86">
        <v>0</v>
      </c>
      <c r="S12" s="86">
        <v>0</v>
      </c>
    </row>
    <row r="13" spans="1:19" s="3" customFormat="1" ht="99" customHeight="1">
      <c r="A13" s="54"/>
      <c r="B13" s="11" t="s">
        <v>864</v>
      </c>
      <c r="C13" s="12"/>
      <c r="D13" s="61" t="s">
        <v>364</v>
      </c>
      <c r="E13" s="7" t="s">
        <v>47</v>
      </c>
      <c r="F13" s="7" t="s">
        <v>15</v>
      </c>
      <c r="G13" s="10" t="s">
        <v>242</v>
      </c>
      <c r="H13" s="7" t="s">
        <v>876</v>
      </c>
      <c r="I13" s="7" t="s">
        <v>298</v>
      </c>
      <c r="J13" s="7" t="s">
        <v>889</v>
      </c>
      <c r="K13" s="52" t="s">
        <v>920</v>
      </c>
      <c r="L13" s="52" t="s">
        <v>358</v>
      </c>
      <c r="M13" s="52" t="s">
        <v>866</v>
      </c>
      <c r="N13" s="69">
        <f>3384653.08/1000</f>
        <v>3384.65308</v>
      </c>
      <c r="O13" s="69">
        <f>3290869.5/1000</f>
        <v>3290.8695</v>
      </c>
      <c r="P13" s="69">
        <v>0</v>
      </c>
      <c r="Q13" s="69">
        <v>0</v>
      </c>
      <c r="R13" s="70">
        <v>0</v>
      </c>
      <c r="S13" s="70">
        <v>0</v>
      </c>
    </row>
    <row r="14" spans="1:19" s="3" customFormat="1" ht="72.75" customHeight="1">
      <c r="A14" s="54"/>
      <c r="B14" s="11" t="s">
        <v>7</v>
      </c>
      <c r="C14" s="12"/>
      <c r="D14" s="61" t="s">
        <v>364</v>
      </c>
      <c r="E14" s="7" t="s">
        <v>47</v>
      </c>
      <c r="F14" s="7" t="s">
        <v>15</v>
      </c>
      <c r="G14" s="10" t="s">
        <v>242</v>
      </c>
      <c r="H14" s="7" t="s">
        <v>750</v>
      </c>
      <c r="I14" s="7" t="s">
        <v>751</v>
      </c>
      <c r="J14" s="7" t="s">
        <v>752</v>
      </c>
      <c r="K14" s="7" t="s">
        <v>26</v>
      </c>
      <c r="L14" s="7" t="s">
        <v>245</v>
      </c>
      <c r="M14" s="7" t="s">
        <v>114</v>
      </c>
      <c r="N14" s="69">
        <f>130280/1000</f>
        <v>130.28</v>
      </c>
      <c r="O14" s="69">
        <f>130280/1000</f>
        <v>130.28</v>
      </c>
      <c r="P14" s="69">
        <v>151</v>
      </c>
      <c r="Q14" s="69">
        <v>160.4</v>
      </c>
      <c r="R14" s="70">
        <v>168.7</v>
      </c>
      <c r="S14" s="70">
        <v>177</v>
      </c>
    </row>
    <row r="15" spans="1:19" s="3" customFormat="1" ht="132.75" customHeight="1">
      <c r="A15" s="158"/>
      <c r="B15" s="40" t="s">
        <v>350</v>
      </c>
      <c r="C15" s="39"/>
      <c r="D15" s="152" t="s">
        <v>9</v>
      </c>
      <c r="E15" s="36" t="s">
        <v>89</v>
      </c>
      <c r="F15" s="36" t="s">
        <v>91</v>
      </c>
      <c r="G15" s="36" t="s">
        <v>499</v>
      </c>
      <c r="H15" s="36" t="s">
        <v>301</v>
      </c>
      <c r="I15" s="36" t="s">
        <v>257</v>
      </c>
      <c r="J15" s="36" t="s">
        <v>46</v>
      </c>
      <c r="K15" s="36" t="s">
        <v>911</v>
      </c>
      <c r="L15" s="36" t="s">
        <v>252</v>
      </c>
      <c r="M15" s="36" t="s">
        <v>253</v>
      </c>
      <c r="N15" s="137">
        <f>13738133.58/1000</f>
        <v>13738.13358</v>
      </c>
      <c r="O15" s="137">
        <f>13738133.58/1000</f>
        <v>13738.13358</v>
      </c>
      <c r="P15" s="137">
        <f>13434714/1000</f>
        <v>13434.714</v>
      </c>
      <c r="Q15" s="137">
        <v>14832.4</v>
      </c>
      <c r="R15" s="139">
        <v>15063.7</v>
      </c>
      <c r="S15" s="139">
        <v>16368.3</v>
      </c>
    </row>
    <row r="16" spans="1:19" s="3" customFormat="1" ht="86.25" customHeight="1">
      <c r="A16" s="160"/>
      <c r="B16" s="129"/>
      <c r="C16" s="185"/>
      <c r="D16" s="153"/>
      <c r="E16" s="37" t="s">
        <v>288</v>
      </c>
      <c r="F16" s="37" t="s">
        <v>289</v>
      </c>
      <c r="G16" s="37" t="s">
        <v>291</v>
      </c>
      <c r="H16" s="143" t="s">
        <v>320</v>
      </c>
      <c r="I16" s="143" t="s">
        <v>143</v>
      </c>
      <c r="J16" s="143" t="s">
        <v>239</v>
      </c>
      <c r="K16" s="37" t="s">
        <v>1000</v>
      </c>
      <c r="L16" s="37" t="s">
        <v>94</v>
      </c>
      <c r="M16" s="37" t="s">
        <v>999</v>
      </c>
      <c r="N16" s="141"/>
      <c r="O16" s="141"/>
      <c r="P16" s="141"/>
      <c r="Q16" s="141"/>
      <c r="R16" s="145"/>
      <c r="S16" s="145"/>
    </row>
    <row r="17" spans="1:19" s="3" customFormat="1" ht="219" customHeight="1">
      <c r="A17" s="159"/>
      <c r="B17" s="120"/>
      <c r="C17" s="186"/>
      <c r="D17" s="154"/>
      <c r="E17" s="38" t="s">
        <v>57</v>
      </c>
      <c r="F17" s="38" t="s">
        <v>290</v>
      </c>
      <c r="G17" s="38" t="s">
        <v>142</v>
      </c>
      <c r="H17" s="144"/>
      <c r="I17" s="144"/>
      <c r="J17" s="144"/>
      <c r="K17" s="37" t="s">
        <v>877</v>
      </c>
      <c r="L17" s="37" t="s">
        <v>287</v>
      </c>
      <c r="M17" s="37" t="s">
        <v>46</v>
      </c>
      <c r="N17" s="138"/>
      <c r="O17" s="138"/>
      <c r="P17" s="138"/>
      <c r="Q17" s="138"/>
      <c r="R17" s="140"/>
      <c r="S17" s="140"/>
    </row>
    <row r="18" spans="1:19" s="3" customFormat="1" ht="93.75" customHeight="1">
      <c r="A18" s="54"/>
      <c r="B18" s="11" t="s">
        <v>461</v>
      </c>
      <c r="C18" s="12"/>
      <c r="D18" s="61" t="s">
        <v>364</v>
      </c>
      <c r="E18" s="7" t="s">
        <v>589</v>
      </c>
      <c r="F18" s="7" t="s">
        <v>590</v>
      </c>
      <c r="G18" s="10">
        <v>38006</v>
      </c>
      <c r="H18" s="7" t="s">
        <v>514</v>
      </c>
      <c r="I18" s="7" t="s">
        <v>298</v>
      </c>
      <c r="J18" s="7" t="s">
        <v>515</v>
      </c>
      <c r="K18" s="7" t="s">
        <v>95</v>
      </c>
      <c r="L18" s="7" t="s">
        <v>35</v>
      </c>
      <c r="M18" s="7" t="s">
        <v>36</v>
      </c>
      <c r="N18" s="69">
        <f>1290800/1000</f>
        <v>1290.8</v>
      </c>
      <c r="O18" s="69">
        <f>1289774.73/1000</f>
        <v>1289.77473</v>
      </c>
      <c r="P18" s="69">
        <v>1168</v>
      </c>
      <c r="Q18" s="69">
        <v>1295.3</v>
      </c>
      <c r="R18" s="70">
        <v>1362.7</v>
      </c>
      <c r="S18" s="70">
        <v>1429.4</v>
      </c>
    </row>
    <row r="19" spans="1:19" s="3" customFormat="1" ht="62.25" customHeight="1">
      <c r="A19" s="54"/>
      <c r="B19" s="11" t="s">
        <v>341</v>
      </c>
      <c r="C19" s="12"/>
      <c r="D19" s="61" t="s">
        <v>365</v>
      </c>
      <c r="E19" s="7" t="s">
        <v>47</v>
      </c>
      <c r="F19" s="7" t="s">
        <v>15</v>
      </c>
      <c r="G19" s="10" t="s">
        <v>48</v>
      </c>
      <c r="H19" s="7"/>
      <c r="I19" s="7"/>
      <c r="J19" s="7"/>
      <c r="K19" s="7" t="s">
        <v>990</v>
      </c>
      <c r="L19" s="7" t="s">
        <v>37</v>
      </c>
      <c r="M19" s="7" t="s">
        <v>991</v>
      </c>
      <c r="N19" s="69">
        <f>668925.46/1000</f>
        <v>668.9254599999999</v>
      </c>
      <c r="O19" s="69">
        <v>0</v>
      </c>
      <c r="P19" s="69">
        <f>5031406.27/1000</f>
        <v>5031.4062699999995</v>
      </c>
      <c r="Q19" s="69">
        <v>6882.7</v>
      </c>
      <c r="R19" s="70">
        <v>7240.6</v>
      </c>
      <c r="S19" s="70">
        <v>7595.4</v>
      </c>
    </row>
    <row r="20" spans="1:19" s="2" customFormat="1" ht="24">
      <c r="A20" s="53" t="s">
        <v>153</v>
      </c>
      <c r="B20" s="30" t="s">
        <v>285</v>
      </c>
      <c r="C20" s="16"/>
      <c r="D20" s="61"/>
      <c r="E20" s="7"/>
      <c r="F20" s="7"/>
      <c r="G20" s="7"/>
      <c r="H20" s="7"/>
      <c r="I20" s="7"/>
      <c r="J20" s="7"/>
      <c r="K20" s="7"/>
      <c r="L20" s="7"/>
      <c r="M20" s="7"/>
      <c r="N20" s="68">
        <f>SUM(N21:N21)</f>
        <v>6034.4564</v>
      </c>
      <c r="O20" s="68">
        <f>SUM(O21:O21)</f>
        <v>6034.4564</v>
      </c>
      <c r="P20" s="68">
        <f>SUM(P21:P23)</f>
        <v>6421.8</v>
      </c>
      <c r="Q20" s="68">
        <f>SUM(Q21:Q23)</f>
        <v>7073.5</v>
      </c>
      <c r="R20" s="68">
        <f>SUM(R21:R23)</f>
        <v>7441.3</v>
      </c>
      <c r="S20" s="68">
        <f>SUM(S21:S23)</f>
        <v>7805.9</v>
      </c>
    </row>
    <row r="21" spans="1:19" s="3" customFormat="1" ht="60.75" customHeight="1">
      <c r="A21" s="192"/>
      <c r="B21" s="149" t="s">
        <v>140</v>
      </c>
      <c r="C21" s="16"/>
      <c r="D21" s="62" t="s">
        <v>364</v>
      </c>
      <c r="E21" s="36" t="s">
        <v>47</v>
      </c>
      <c r="F21" s="36" t="s">
        <v>155</v>
      </c>
      <c r="G21" s="36" t="s">
        <v>48</v>
      </c>
      <c r="H21" s="36" t="s">
        <v>301</v>
      </c>
      <c r="I21" s="36" t="s">
        <v>257</v>
      </c>
      <c r="J21" s="36" t="s">
        <v>46</v>
      </c>
      <c r="K21" s="36" t="s">
        <v>38</v>
      </c>
      <c r="L21" s="36" t="s">
        <v>245</v>
      </c>
      <c r="M21" s="36" t="s">
        <v>292</v>
      </c>
      <c r="N21" s="137">
        <f>(2579587.62+3454868.78)/1000</f>
        <v>6034.4564</v>
      </c>
      <c r="O21" s="137">
        <f>(2579587.62+3454868.78)/1000</f>
        <v>6034.4564</v>
      </c>
      <c r="P21" s="137">
        <f>2818.5+3603.3</f>
        <v>6421.8</v>
      </c>
      <c r="Q21" s="137">
        <v>7073.5</v>
      </c>
      <c r="R21" s="139">
        <v>7441.3</v>
      </c>
      <c r="S21" s="139">
        <v>7805.9</v>
      </c>
    </row>
    <row r="22" spans="1:19" s="3" customFormat="1" ht="74.25" customHeight="1">
      <c r="A22" s="193"/>
      <c r="B22" s="150"/>
      <c r="C22" s="161"/>
      <c r="D22" s="153" t="s">
        <v>364</v>
      </c>
      <c r="E22" s="37" t="s">
        <v>288</v>
      </c>
      <c r="F22" s="37" t="s">
        <v>289</v>
      </c>
      <c r="G22" s="37" t="s">
        <v>291</v>
      </c>
      <c r="H22" s="143" t="s">
        <v>320</v>
      </c>
      <c r="I22" s="143" t="s">
        <v>143</v>
      </c>
      <c r="J22" s="143" t="s">
        <v>239</v>
      </c>
      <c r="K22" s="143" t="s">
        <v>877</v>
      </c>
      <c r="L22" s="143" t="s">
        <v>287</v>
      </c>
      <c r="M22" s="143" t="s">
        <v>46</v>
      </c>
      <c r="N22" s="141"/>
      <c r="O22" s="141"/>
      <c r="P22" s="141"/>
      <c r="Q22" s="141"/>
      <c r="R22" s="145"/>
      <c r="S22" s="145"/>
    </row>
    <row r="23" spans="1:19" s="3" customFormat="1" ht="141.75" customHeight="1">
      <c r="A23" s="194"/>
      <c r="B23" s="151"/>
      <c r="C23" s="161"/>
      <c r="D23" s="154"/>
      <c r="E23" s="38" t="s">
        <v>57</v>
      </c>
      <c r="F23" s="38" t="s">
        <v>290</v>
      </c>
      <c r="G23" s="38" t="s">
        <v>142</v>
      </c>
      <c r="H23" s="144"/>
      <c r="I23" s="144"/>
      <c r="J23" s="144"/>
      <c r="K23" s="196"/>
      <c r="L23" s="196"/>
      <c r="M23" s="196"/>
      <c r="N23" s="138"/>
      <c r="O23" s="138"/>
      <c r="P23" s="138"/>
      <c r="Q23" s="138"/>
      <c r="R23" s="140"/>
      <c r="S23" s="140"/>
    </row>
    <row r="24" spans="1:19" s="2" customFormat="1" ht="36.75" customHeight="1">
      <c r="A24" s="53" t="s">
        <v>327</v>
      </c>
      <c r="B24" s="30" t="s">
        <v>74</v>
      </c>
      <c r="C24" s="16"/>
      <c r="D24" s="61"/>
      <c r="E24" s="7"/>
      <c r="F24" s="7"/>
      <c r="G24" s="7"/>
      <c r="H24" s="7"/>
      <c r="I24" s="7"/>
      <c r="J24" s="7"/>
      <c r="K24" s="7"/>
      <c r="L24" s="7"/>
      <c r="M24" s="7"/>
      <c r="N24" s="69"/>
      <c r="O24" s="69"/>
      <c r="P24" s="69"/>
      <c r="Q24" s="75"/>
      <c r="R24" s="97"/>
      <c r="S24" s="97"/>
    </row>
    <row r="25" spans="1:19" s="2" customFormat="1" ht="84.75" customHeight="1">
      <c r="A25" s="53" t="s">
        <v>123</v>
      </c>
      <c r="B25" s="30" t="s">
        <v>190</v>
      </c>
      <c r="C25" s="16"/>
      <c r="D25" s="64" t="s">
        <v>178</v>
      </c>
      <c r="E25" s="28" t="s">
        <v>210</v>
      </c>
      <c r="F25" s="28" t="s">
        <v>211</v>
      </c>
      <c r="G25" s="28" t="s">
        <v>588</v>
      </c>
      <c r="H25" s="28" t="s">
        <v>81</v>
      </c>
      <c r="I25" s="28" t="s">
        <v>82</v>
      </c>
      <c r="J25" s="28" t="s">
        <v>83</v>
      </c>
      <c r="K25" s="28" t="s">
        <v>75</v>
      </c>
      <c r="L25" s="28" t="s">
        <v>245</v>
      </c>
      <c r="M25" s="28" t="s">
        <v>154</v>
      </c>
      <c r="N25" s="68">
        <v>0</v>
      </c>
      <c r="O25" s="68">
        <v>0</v>
      </c>
      <c r="P25" s="68">
        <v>0</v>
      </c>
      <c r="Q25" s="68">
        <v>2055.3</v>
      </c>
      <c r="R25" s="68">
        <v>0</v>
      </c>
      <c r="S25" s="68">
        <v>2268.1</v>
      </c>
    </row>
    <row r="26" spans="1:19" s="6" customFormat="1" ht="34.5" customHeight="1">
      <c r="A26" s="53" t="s">
        <v>228</v>
      </c>
      <c r="B26" s="30" t="s">
        <v>328</v>
      </c>
      <c r="C26" s="16"/>
      <c r="D26" s="64"/>
      <c r="E26" s="28"/>
      <c r="F26" s="28"/>
      <c r="G26" s="28"/>
      <c r="H26" s="28"/>
      <c r="I26" s="28"/>
      <c r="J26" s="28"/>
      <c r="K26" s="28"/>
      <c r="L26" s="28"/>
      <c r="M26" s="28"/>
      <c r="N26" s="68"/>
      <c r="O26" s="68"/>
      <c r="P26" s="68"/>
      <c r="Q26" s="68"/>
      <c r="R26" s="68"/>
      <c r="S26" s="68"/>
    </row>
    <row r="27" spans="1:19" s="2" customFormat="1" ht="36.75" customHeight="1">
      <c r="A27" s="53" t="s">
        <v>30</v>
      </c>
      <c r="B27" s="30" t="s">
        <v>157</v>
      </c>
      <c r="C27" s="16"/>
      <c r="D27" s="61"/>
      <c r="E27" s="7"/>
      <c r="F27" s="7"/>
      <c r="G27" s="7"/>
      <c r="H27" s="7"/>
      <c r="I27" s="7"/>
      <c r="J27" s="7"/>
      <c r="K27" s="7"/>
      <c r="L27" s="7"/>
      <c r="M27" s="7"/>
      <c r="N27" s="69"/>
      <c r="O27" s="69"/>
      <c r="P27" s="69"/>
      <c r="Q27" s="75"/>
      <c r="R27" s="97"/>
      <c r="S27" s="97"/>
    </row>
    <row r="28" spans="1:19" s="6" customFormat="1" ht="97.5" customHeight="1">
      <c r="A28" s="53" t="s">
        <v>52</v>
      </c>
      <c r="B28" s="30" t="s">
        <v>263</v>
      </c>
      <c r="C28" s="16"/>
      <c r="D28" s="64" t="s">
        <v>244</v>
      </c>
      <c r="E28" s="28" t="s">
        <v>47</v>
      </c>
      <c r="F28" s="28" t="s">
        <v>15</v>
      </c>
      <c r="G28" s="28" t="s">
        <v>48</v>
      </c>
      <c r="H28" s="28"/>
      <c r="I28" s="28"/>
      <c r="J28" s="28"/>
      <c r="K28" s="28" t="s">
        <v>96</v>
      </c>
      <c r="L28" s="28" t="s">
        <v>200</v>
      </c>
      <c r="M28" s="29" t="s">
        <v>46</v>
      </c>
      <c r="N28" s="68">
        <f>463856/1000</f>
        <v>463.856</v>
      </c>
      <c r="O28" s="68">
        <f>463856/1000</f>
        <v>463.856</v>
      </c>
      <c r="P28" s="68">
        <v>778</v>
      </c>
      <c r="Q28" s="68">
        <v>826.2</v>
      </c>
      <c r="R28" s="98">
        <v>869.2</v>
      </c>
      <c r="S28" s="98">
        <v>911.8</v>
      </c>
    </row>
    <row r="29" spans="1:19" s="2" customFormat="1" ht="51.75" customHeight="1">
      <c r="A29" s="53" t="s">
        <v>58</v>
      </c>
      <c r="B29" s="30" t="s">
        <v>39</v>
      </c>
      <c r="C29" s="16"/>
      <c r="D29" s="61"/>
      <c r="E29" s="7"/>
      <c r="F29" s="7"/>
      <c r="G29" s="7"/>
      <c r="H29" s="7"/>
      <c r="I29" s="7"/>
      <c r="J29" s="7"/>
      <c r="K29" s="7"/>
      <c r="L29" s="7"/>
      <c r="M29" s="7"/>
      <c r="N29" s="68">
        <f>SUM(N30:N33)</f>
        <v>15010.322999999999</v>
      </c>
      <c r="O29" s="68">
        <f>SUM(O30:O33)</f>
        <v>14989.51269</v>
      </c>
      <c r="P29" s="68">
        <f>SUM(P30:P34)</f>
        <v>16843.4</v>
      </c>
      <c r="Q29" s="68">
        <f>SUM(Q30:Q34)</f>
        <v>18548.8</v>
      </c>
      <c r="R29" s="68">
        <f>SUM(R30:R34)</f>
        <v>19513.399999999998</v>
      </c>
      <c r="S29" s="68">
        <f>SUM(S30:S34)</f>
        <v>20469.5</v>
      </c>
    </row>
    <row r="30" spans="1:19" s="3" customFormat="1" ht="63" customHeight="1">
      <c r="A30" s="158"/>
      <c r="B30" s="149" t="s">
        <v>339</v>
      </c>
      <c r="C30" s="12"/>
      <c r="D30" s="152" t="s">
        <v>340</v>
      </c>
      <c r="E30" s="36" t="s">
        <v>47</v>
      </c>
      <c r="F30" s="36" t="s">
        <v>116</v>
      </c>
      <c r="G30" s="36" t="s">
        <v>48</v>
      </c>
      <c r="H30" s="36" t="s">
        <v>301</v>
      </c>
      <c r="I30" s="36" t="s">
        <v>257</v>
      </c>
      <c r="J30" s="36" t="s">
        <v>46</v>
      </c>
      <c r="K30" s="36" t="s">
        <v>112</v>
      </c>
      <c r="L30" s="36" t="s">
        <v>144</v>
      </c>
      <c r="M30" s="36" t="s">
        <v>46</v>
      </c>
      <c r="N30" s="137">
        <f>14126523/1000</f>
        <v>14126.523</v>
      </c>
      <c r="O30" s="137">
        <f>14110450.11/1000</f>
        <v>14110.45011</v>
      </c>
      <c r="P30" s="137">
        <v>14676.6</v>
      </c>
      <c r="Q30" s="137">
        <v>16192.9</v>
      </c>
      <c r="R30" s="139">
        <v>17035</v>
      </c>
      <c r="S30" s="139">
        <v>17869.6</v>
      </c>
    </row>
    <row r="31" spans="1:19" s="3" customFormat="1" ht="74.25" customHeight="1">
      <c r="A31" s="160"/>
      <c r="B31" s="150"/>
      <c r="C31" s="161"/>
      <c r="D31" s="153"/>
      <c r="E31" s="37" t="s">
        <v>288</v>
      </c>
      <c r="F31" s="37" t="s">
        <v>289</v>
      </c>
      <c r="G31" s="37" t="s">
        <v>291</v>
      </c>
      <c r="H31" s="143" t="s">
        <v>320</v>
      </c>
      <c r="I31" s="143" t="s">
        <v>143</v>
      </c>
      <c r="J31" s="143" t="s">
        <v>239</v>
      </c>
      <c r="K31" s="143" t="s">
        <v>877</v>
      </c>
      <c r="L31" s="143" t="s">
        <v>287</v>
      </c>
      <c r="M31" s="143" t="s">
        <v>46</v>
      </c>
      <c r="N31" s="141"/>
      <c r="O31" s="141"/>
      <c r="P31" s="141"/>
      <c r="Q31" s="141"/>
      <c r="R31" s="145"/>
      <c r="S31" s="145"/>
    </row>
    <row r="32" spans="1:19" s="3" customFormat="1" ht="141" customHeight="1">
      <c r="A32" s="159"/>
      <c r="B32" s="151"/>
      <c r="C32" s="161"/>
      <c r="D32" s="154"/>
      <c r="E32" s="38" t="s">
        <v>57</v>
      </c>
      <c r="F32" s="38" t="s">
        <v>290</v>
      </c>
      <c r="G32" s="38" t="s">
        <v>142</v>
      </c>
      <c r="H32" s="144"/>
      <c r="I32" s="144"/>
      <c r="J32" s="144"/>
      <c r="K32" s="144"/>
      <c r="L32" s="144"/>
      <c r="M32" s="144"/>
      <c r="N32" s="138"/>
      <c r="O32" s="138"/>
      <c r="P32" s="138"/>
      <c r="Q32" s="138"/>
      <c r="R32" s="140"/>
      <c r="S32" s="140"/>
    </row>
    <row r="33" spans="1:19" s="3" customFormat="1" ht="58.5" customHeight="1">
      <c r="A33" s="54"/>
      <c r="B33" s="11" t="s">
        <v>170</v>
      </c>
      <c r="C33" s="12"/>
      <c r="D33" s="61" t="s">
        <v>364</v>
      </c>
      <c r="E33" s="7" t="s">
        <v>47</v>
      </c>
      <c r="F33" s="7" t="s">
        <v>116</v>
      </c>
      <c r="G33" s="7" t="s">
        <v>48</v>
      </c>
      <c r="H33" s="7"/>
      <c r="I33" s="7"/>
      <c r="J33" s="7"/>
      <c r="K33" s="7" t="s">
        <v>171</v>
      </c>
      <c r="L33" s="7" t="s">
        <v>17</v>
      </c>
      <c r="M33" s="7" t="s">
        <v>46</v>
      </c>
      <c r="N33" s="69">
        <f>883800/1000</f>
        <v>883.8</v>
      </c>
      <c r="O33" s="69">
        <f>879062.58/1000</f>
        <v>879.0625799999999</v>
      </c>
      <c r="P33" s="69">
        <v>1000.8</v>
      </c>
      <c r="Q33" s="69">
        <v>1062.8</v>
      </c>
      <c r="R33" s="70">
        <v>1118.1</v>
      </c>
      <c r="S33" s="70">
        <v>1172.9</v>
      </c>
    </row>
    <row r="34" spans="1:19" s="3" customFormat="1" ht="63" customHeight="1">
      <c r="A34" s="54"/>
      <c r="B34" s="47" t="s">
        <v>1007</v>
      </c>
      <c r="C34" s="12"/>
      <c r="D34" s="61" t="s">
        <v>340</v>
      </c>
      <c r="E34" s="36" t="s">
        <v>47</v>
      </c>
      <c r="F34" s="36" t="s">
        <v>116</v>
      </c>
      <c r="G34" s="36" t="s">
        <v>48</v>
      </c>
      <c r="H34" s="36" t="s">
        <v>301</v>
      </c>
      <c r="I34" s="36" t="s">
        <v>257</v>
      </c>
      <c r="J34" s="36" t="s">
        <v>46</v>
      </c>
      <c r="K34" s="45" t="s">
        <v>1008</v>
      </c>
      <c r="L34" s="45" t="s">
        <v>1009</v>
      </c>
      <c r="M34" s="45" t="s">
        <v>1010</v>
      </c>
      <c r="N34" s="69"/>
      <c r="O34" s="69"/>
      <c r="P34" s="69">
        <f>1166000/1000</f>
        <v>1166</v>
      </c>
      <c r="Q34" s="69">
        <v>1293.1</v>
      </c>
      <c r="R34" s="70">
        <v>1360.3</v>
      </c>
      <c r="S34" s="70">
        <v>1427</v>
      </c>
    </row>
    <row r="35" spans="1:19" s="2" customFormat="1" ht="24.75" customHeight="1">
      <c r="A35" s="53" t="s">
        <v>254</v>
      </c>
      <c r="B35" s="30" t="s">
        <v>260</v>
      </c>
      <c r="C35" s="16"/>
      <c r="D35" s="61"/>
      <c r="E35" s="7"/>
      <c r="F35" s="7"/>
      <c r="G35" s="7"/>
      <c r="H35" s="7"/>
      <c r="I35" s="7"/>
      <c r="J35" s="7"/>
      <c r="K35" s="7"/>
      <c r="L35" s="7"/>
      <c r="M35" s="7"/>
      <c r="N35" s="69"/>
      <c r="O35" s="69"/>
      <c r="P35" s="69"/>
      <c r="Q35" s="75"/>
      <c r="R35" s="97"/>
      <c r="S35" s="97"/>
    </row>
    <row r="36" spans="1:19" s="6" customFormat="1" ht="50.25" customHeight="1">
      <c r="A36" s="53" t="s">
        <v>18</v>
      </c>
      <c r="B36" s="30" t="s">
        <v>19</v>
      </c>
      <c r="C36" s="16"/>
      <c r="D36" s="64"/>
      <c r="E36" s="28"/>
      <c r="F36" s="28"/>
      <c r="G36" s="28"/>
      <c r="H36" s="28"/>
      <c r="I36" s="28"/>
      <c r="J36" s="28"/>
      <c r="K36" s="28"/>
      <c r="L36" s="28"/>
      <c r="M36" s="28"/>
      <c r="N36" s="68">
        <f aca="true" t="shared" si="1" ref="N36:S36">SUM(N37:N39)</f>
        <v>3194.7146</v>
      </c>
      <c r="O36" s="68">
        <f t="shared" si="1"/>
        <v>3187.82928</v>
      </c>
      <c r="P36" s="68">
        <f t="shared" si="1"/>
        <v>5420.58848</v>
      </c>
      <c r="Q36" s="68">
        <f t="shared" si="1"/>
        <v>5650.5</v>
      </c>
      <c r="R36" s="68">
        <f t="shared" si="1"/>
        <v>5944.3</v>
      </c>
      <c r="S36" s="68">
        <f t="shared" si="1"/>
        <v>6235.6</v>
      </c>
    </row>
    <row r="37" spans="1:19" s="6" customFormat="1" ht="96.75" customHeight="1">
      <c r="A37" s="54"/>
      <c r="B37" s="11" t="s">
        <v>186</v>
      </c>
      <c r="C37" s="12"/>
      <c r="D37" s="61" t="s">
        <v>364</v>
      </c>
      <c r="E37" s="7" t="s">
        <v>47</v>
      </c>
      <c r="F37" s="7" t="s">
        <v>15</v>
      </c>
      <c r="G37" s="7" t="s">
        <v>48</v>
      </c>
      <c r="H37" s="7"/>
      <c r="I37" s="7"/>
      <c r="J37" s="7"/>
      <c r="K37" s="7" t="s">
        <v>481</v>
      </c>
      <c r="L37" s="7" t="s">
        <v>462</v>
      </c>
      <c r="M37" s="7" t="s">
        <v>400</v>
      </c>
      <c r="N37" s="69">
        <f>3175114.6/1000</f>
        <v>3175.1146</v>
      </c>
      <c r="O37" s="69">
        <f>3168229.28/1000</f>
        <v>3168.22928</v>
      </c>
      <c r="P37" s="69">
        <f>5420588.48/1000</f>
        <v>5420.58848</v>
      </c>
      <c r="Q37" s="69">
        <v>5650.5</v>
      </c>
      <c r="R37" s="70">
        <v>5944.3</v>
      </c>
      <c r="S37" s="70">
        <v>6235.6</v>
      </c>
    </row>
    <row r="38" spans="1:19" s="3" customFormat="1" ht="93.75" customHeight="1" hidden="1">
      <c r="A38" s="54"/>
      <c r="B38" s="11" t="s">
        <v>904</v>
      </c>
      <c r="C38" s="12"/>
      <c r="D38" s="62" t="s">
        <v>138</v>
      </c>
      <c r="E38" s="36" t="s">
        <v>47</v>
      </c>
      <c r="F38" s="36" t="s">
        <v>15</v>
      </c>
      <c r="G38" s="36" t="s">
        <v>48</v>
      </c>
      <c r="H38" s="36"/>
      <c r="I38" s="36"/>
      <c r="J38" s="36"/>
      <c r="K38" s="7" t="s">
        <v>481</v>
      </c>
      <c r="L38" s="7" t="s">
        <v>462</v>
      </c>
      <c r="M38" s="7" t="s">
        <v>400</v>
      </c>
      <c r="N38" s="71">
        <v>0</v>
      </c>
      <c r="O38" s="71">
        <v>0</v>
      </c>
      <c r="P38" s="130"/>
      <c r="Q38" s="71">
        <v>0</v>
      </c>
      <c r="R38" s="71">
        <v>0</v>
      </c>
      <c r="S38" s="71">
        <v>0</v>
      </c>
    </row>
    <row r="39" spans="1:19" s="6" customFormat="1" ht="158.25" customHeight="1">
      <c r="A39" s="53"/>
      <c r="B39" s="11" t="s">
        <v>193</v>
      </c>
      <c r="C39" s="16"/>
      <c r="D39" s="61" t="s">
        <v>364</v>
      </c>
      <c r="E39" s="7" t="s">
        <v>502</v>
      </c>
      <c r="F39" s="7" t="s">
        <v>503</v>
      </c>
      <c r="G39" s="7" t="s">
        <v>46</v>
      </c>
      <c r="H39" s="7"/>
      <c r="I39" s="7"/>
      <c r="J39" s="7"/>
      <c r="K39" s="7" t="s">
        <v>381</v>
      </c>
      <c r="L39" s="7" t="s">
        <v>298</v>
      </c>
      <c r="M39" s="7" t="s">
        <v>306</v>
      </c>
      <c r="N39" s="69">
        <f>19600/1000</f>
        <v>19.6</v>
      </c>
      <c r="O39" s="69">
        <f>19600/1000</f>
        <v>19.6</v>
      </c>
      <c r="P39" s="69">
        <v>0</v>
      </c>
      <c r="Q39" s="69">
        <v>0</v>
      </c>
      <c r="R39" s="70">
        <v>0</v>
      </c>
      <c r="S39" s="70">
        <v>0</v>
      </c>
    </row>
    <row r="40" spans="1:19" s="2" customFormat="1" ht="24" customHeight="1">
      <c r="A40" s="53" t="s">
        <v>337</v>
      </c>
      <c r="B40" s="30" t="s">
        <v>338</v>
      </c>
      <c r="C40" s="16"/>
      <c r="D40" s="61"/>
      <c r="E40" s="7"/>
      <c r="F40" s="7"/>
      <c r="G40" s="7"/>
      <c r="H40" s="7"/>
      <c r="I40" s="7"/>
      <c r="J40" s="7"/>
      <c r="K40" s="7"/>
      <c r="L40" s="7"/>
      <c r="M40" s="7"/>
      <c r="N40" s="68">
        <f>SUM(N41:N42)</f>
        <v>380.2</v>
      </c>
      <c r="O40" s="68">
        <f>SUM(O41:O42)</f>
        <v>283.3324</v>
      </c>
      <c r="P40" s="68">
        <f>SUM(P41:P43)</f>
        <v>25377</v>
      </c>
      <c r="Q40" s="68">
        <f>SUM(Q41:Q42)</f>
        <v>0</v>
      </c>
      <c r="R40" s="68">
        <f>SUM(R41:R42)</f>
        <v>0</v>
      </c>
      <c r="S40" s="68">
        <f>SUM(S41:S42)</f>
        <v>0</v>
      </c>
    </row>
    <row r="41" spans="1:19" s="3" customFormat="1" ht="75" customHeight="1">
      <c r="A41" s="55"/>
      <c r="B41" s="149" t="s">
        <v>377</v>
      </c>
      <c r="C41" s="12"/>
      <c r="D41" s="62" t="s">
        <v>22</v>
      </c>
      <c r="E41" s="142" t="s">
        <v>47</v>
      </c>
      <c r="F41" s="142" t="s">
        <v>15</v>
      </c>
      <c r="G41" s="142" t="s">
        <v>48</v>
      </c>
      <c r="H41" s="142" t="s">
        <v>504</v>
      </c>
      <c r="I41" s="142" t="s">
        <v>505</v>
      </c>
      <c r="J41" s="142" t="s">
        <v>506</v>
      </c>
      <c r="K41" s="36" t="s">
        <v>598</v>
      </c>
      <c r="L41" s="36" t="s">
        <v>879</v>
      </c>
      <c r="M41" s="36" t="s">
        <v>599</v>
      </c>
      <c r="N41" s="76">
        <f>318200/1000</f>
        <v>318.2</v>
      </c>
      <c r="O41" s="71">
        <f>229727.76/1000</f>
        <v>229.72776000000002</v>
      </c>
      <c r="P41" s="76">
        <v>310</v>
      </c>
      <c r="Q41" s="76">
        <v>0</v>
      </c>
      <c r="R41" s="76">
        <v>0</v>
      </c>
      <c r="S41" s="76">
        <v>0</v>
      </c>
    </row>
    <row r="42" spans="1:19" s="3" customFormat="1" ht="87.75" customHeight="1">
      <c r="A42" s="57"/>
      <c r="B42" s="151"/>
      <c r="C42" s="12"/>
      <c r="D42" s="65" t="s">
        <v>181</v>
      </c>
      <c r="E42" s="144"/>
      <c r="F42" s="144"/>
      <c r="G42" s="144"/>
      <c r="H42" s="144"/>
      <c r="I42" s="144"/>
      <c r="J42" s="144"/>
      <c r="K42" s="38" t="s">
        <v>878</v>
      </c>
      <c r="L42" s="38" t="s">
        <v>298</v>
      </c>
      <c r="M42" s="38" t="s">
        <v>880</v>
      </c>
      <c r="N42" s="78">
        <f>62000/1000</f>
        <v>62</v>
      </c>
      <c r="O42" s="77">
        <f>53604.64/1000</f>
        <v>53.604639999999996</v>
      </c>
      <c r="P42" s="78">
        <v>67</v>
      </c>
      <c r="Q42" s="78">
        <v>0</v>
      </c>
      <c r="R42" s="78">
        <v>0</v>
      </c>
      <c r="S42" s="78">
        <v>0</v>
      </c>
    </row>
    <row r="43" spans="1:19" s="3" customFormat="1" ht="87.75" customHeight="1">
      <c r="A43" s="57"/>
      <c r="B43" s="120"/>
      <c r="C43" s="12"/>
      <c r="D43" s="65"/>
      <c r="E43" s="38"/>
      <c r="F43" s="38"/>
      <c r="G43" s="38"/>
      <c r="H43" s="38"/>
      <c r="I43" s="38"/>
      <c r="J43" s="38"/>
      <c r="K43" s="38"/>
      <c r="L43" s="38"/>
      <c r="M43" s="38"/>
      <c r="N43" s="78"/>
      <c r="O43" s="77"/>
      <c r="P43" s="78">
        <v>25000</v>
      </c>
      <c r="Q43" s="78">
        <v>0</v>
      </c>
      <c r="R43" s="78">
        <v>0</v>
      </c>
      <c r="S43" s="78">
        <v>0</v>
      </c>
    </row>
    <row r="44" spans="1:19" s="2" customFormat="1" ht="47.25" customHeight="1">
      <c r="A44" s="53" t="s">
        <v>162</v>
      </c>
      <c r="B44" s="30" t="s">
        <v>241</v>
      </c>
      <c r="C44" s="16"/>
      <c r="D44" s="61"/>
      <c r="E44" s="7"/>
      <c r="F44" s="7"/>
      <c r="G44" s="7"/>
      <c r="H44" s="7"/>
      <c r="I44" s="7"/>
      <c r="J44" s="7"/>
      <c r="K44" s="7"/>
      <c r="L44" s="7"/>
      <c r="M44" s="7"/>
      <c r="N44" s="68">
        <f aca="true" t="shared" si="2" ref="N44:S44">SUM(N45:N48)</f>
        <v>3285.58677</v>
      </c>
      <c r="O44" s="68">
        <f t="shared" si="2"/>
        <v>3285.58677</v>
      </c>
      <c r="P44" s="68">
        <f t="shared" si="2"/>
        <v>4131</v>
      </c>
      <c r="Q44" s="68">
        <f t="shared" si="2"/>
        <v>4300.3</v>
      </c>
      <c r="R44" s="68">
        <f t="shared" si="2"/>
        <v>4451.1</v>
      </c>
      <c r="S44" s="68">
        <f t="shared" si="2"/>
        <v>4600.6</v>
      </c>
    </row>
    <row r="45" spans="1:19" s="3" customFormat="1" ht="96" customHeight="1">
      <c r="A45" s="198"/>
      <c r="B45" s="149" t="s">
        <v>401</v>
      </c>
      <c r="C45" s="12"/>
      <c r="D45" s="152" t="s">
        <v>300</v>
      </c>
      <c r="E45" s="142" t="s">
        <v>47</v>
      </c>
      <c r="F45" s="142" t="s">
        <v>117</v>
      </c>
      <c r="G45" s="142" t="s">
        <v>48</v>
      </c>
      <c r="H45" s="142" t="s">
        <v>504</v>
      </c>
      <c r="I45" s="142" t="s">
        <v>505</v>
      </c>
      <c r="J45" s="142" t="s">
        <v>506</v>
      </c>
      <c r="K45" s="36" t="s">
        <v>482</v>
      </c>
      <c r="L45" s="36" t="s">
        <v>483</v>
      </c>
      <c r="M45" s="36" t="s">
        <v>484</v>
      </c>
      <c r="N45" s="71">
        <f>2186307.77/1000</f>
        <v>2186.30777</v>
      </c>
      <c r="O45" s="71">
        <f>2186307.77/1000</f>
        <v>2186.30777</v>
      </c>
      <c r="P45" s="71">
        <v>2731</v>
      </c>
      <c r="Q45" s="71">
        <v>2900.3</v>
      </c>
      <c r="R45" s="74">
        <v>3051.1</v>
      </c>
      <c r="S45" s="74">
        <v>3200.6</v>
      </c>
    </row>
    <row r="46" spans="1:19" s="3" customFormat="1" ht="120.75" customHeight="1">
      <c r="A46" s="199"/>
      <c r="B46" s="150"/>
      <c r="C46" s="12"/>
      <c r="D46" s="153"/>
      <c r="E46" s="143"/>
      <c r="F46" s="143"/>
      <c r="G46" s="143"/>
      <c r="H46" s="143"/>
      <c r="I46" s="143"/>
      <c r="J46" s="143"/>
      <c r="K46" s="37" t="s">
        <v>912</v>
      </c>
      <c r="L46" s="37" t="s">
        <v>298</v>
      </c>
      <c r="M46" s="37" t="s">
        <v>485</v>
      </c>
      <c r="N46" s="72"/>
      <c r="O46" s="72"/>
      <c r="P46" s="72"/>
      <c r="Q46" s="72"/>
      <c r="R46" s="86"/>
      <c r="S46" s="86"/>
    </row>
    <row r="47" spans="1:19" s="3" customFormat="1" ht="96" customHeight="1">
      <c r="A47" s="200"/>
      <c r="B47" s="151"/>
      <c r="C47" s="12"/>
      <c r="D47" s="154"/>
      <c r="E47" s="144"/>
      <c r="F47" s="144"/>
      <c r="G47" s="144"/>
      <c r="H47" s="144"/>
      <c r="I47" s="144"/>
      <c r="J47" s="144"/>
      <c r="K47" s="51" t="s">
        <v>1014</v>
      </c>
      <c r="L47" s="51" t="s">
        <v>238</v>
      </c>
      <c r="M47" s="51" t="s">
        <v>914</v>
      </c>
      <c r="N47" s="77"/>
      <c r="O47" s="77"/>
      <c r="P47" s="77">
        <v>1400</v>
      </c>
      <c r="Q47" s="77">
        <v>1400</v>
      </c>
      <c r="R47" s="79">
        <v>1400</v>
      </c>
      <c r="S47" s="79">
        <v>1400</v>
      </c>
    </row>
    <row r="48" spans="1:19" s="3" customFormat="1" ht="135.75" customHeight="1">
      <c r="A48" s="57"/>
      <c r="B48" s="47" t="s">
        <v>672</v>
      </c>
      <c r="C48" s="12"/>
      <c r="D48" s="65" t="s">
        <v>300</v>
      </c>
      <c r="E48" s="7" t="s">
        <v>47</v>
      </c>
      <c r="F48" s="7" t="s">
        <v>15</v>
      </c>
      <c r="G48" s="7" t="s">
        <v>48</v>
      </c>
      <c r="H48" s="38" t="s">
        <v>735</v>
      </c>
      <c r="I48" s="38" t="s">
        <v>94</v>
      </c>
      <c r="J48" s="38" t="s">
        <v>732</v>
      </c>
      <c r="K48" s="38" t="s">
        <v>863</v>
      </c>
      <c r="L48" s="38" t="s">
        <v>94</v>
      </c>
      <c r="M48" s="38" t="s">
        <v>862</v>
      </c>
      <c r="N48" s="77">
        <f>1099279/1000</f>
        <v>1099.279</v>
      </c>
      <c r="O48" s="77">
        <f>1099279/1000</f>
        <v>1099.279</v>
      </c>
      <c r="P48" s="77">
        <v>0</v>
      </c>
      <c r="Q48" s="77">
        <v>0</v>
      </c>
      <c r="R48" s="79">
        <v>0</v>
      </c>
      <c r="S48" s="79">
        <v>0</v>
      </c>
    </row>
    <row r="49" spans="1:19" s="2" customFormat="1" ht="48.75" customHeight="1">
      <c r="A49" s="53" t="s">
        <v>297</v>
      </c>
      <c r="B49" s="30" t="s">
        <v>199</v>
      </c>
      <c r="C49" s="16"/>
      <c r="D49" s="61"/>
      <c r="E49" s="7"/>
      <c r="F49" s="7"/>
      <c r="G49" s="7"/>
      <c r="H49" s="7"/>
      <c r="I49" s="7"/>
      <c r="J49" s="7"/>
      <c r="K49" s="7"/>
      <c r="L49" s="7"/>
      <c r="M49" s="7"/>
      <c r="N49" s="68">
        <f aca="true" t="shared" si="3" ref="N49:S49">SUM(N50:N54)</f>
        <v>1054.38924</v>
      </c>
      <c r="O49" s="68">
        <f t="shared" si="3"/>
        <v>1054.38836</v>
      </c>
      <c r="P49" s="68">
        <f t="shared" si="3"/>
        <v>1237.28825</v>
      </c>
      <c r="Q49" s="68">
        <f t="shared" si="3"/>
        <v>1314</v>
      </c>
      <c r="R49" s="68">
        <f t="shared" si="3"/>
        <v>1382.3</v>
      </c>
      <c r="S49" s="68">
        <f t="shared" si="3"/>
        <v>1450.1</v>
      </c>
    </row>
    <row r="50" spans="1:19" s="3" customFormat="1" ht="48.75" customHeight="1">
      <c r="A50" s="158"/>
      <c r="B50" s="149" t="s">
        <v>486</v>
      </c>
      <c r="C50" s="12"/>
      <c r="D50" s="152" t="s">
        <v>180</v>
      </c>
      <c r="E50" s="142" t="s">
        <v>47</v>
      </c>
      <c r="F50" s="142" t="s">
        <v>15</v>
      </c>
      <c r="G50" s="142" t="s">
        <v>48</v>
      </c>
      <c r="H50" s="142"/>
      <c r="I50" s="142"/>
      <c r="J50" s="142"/>
      <c r="K50" s="36" t="s">
        <v>881</v>
      </c>
      <c r="L50" s="43" t="s">
        <v>109</v>
      </c>
      <c r="M50" s="43" t="s">
        <v>487</v>
      </c>
      <c r="N50" s="137">
        <f>875162.24/1000</f>
        <v>875.16224</v>
      </c>
      <c r="O50" s="137">
        <f>875162.24/1000</f>
        <v>875.16224</v>
      </c>
      <c r="P50" s="137">
        <v>0</v>
      </c>
      <c r="Q50" s="137">
        <v>0</v>
      </c>
      <c r="R50" s="139">
        <v>0</v>
      </c>
      <c r="S50" s="139">
        <v>0</v>
      </c>
    </row>
    <row r="51" spans="1:19" s="3" customFormat="1" ht="72.75" customHeight="1">
      <c r="A51" s="159"/>
      <c r="B51" s="151"/>
      <c r="C51" s="12"/>
      <c r="D51" s="154"/>
      <c r="E51" s="144"/>
      <c r="F51" s="144"/>
      <c r="G51" s="144"/>
      <c r="H51" s="144"/>
      <c r="I51" s="144"/>
      <c r="J51" s="144"/>
      <c r="K51" s="38" t="s">
        <v>882</v>
      </c>
      <c r="L51" s="44" t="s">
        <v>298</v>
      </c>
      <c r="M51" s="44" t="s">
        <v>616</v>
      </c>
      <c r="N51" s="138"/>
      <c r="O51" s="138"/>
      <c r="P51" s="138"/>
      <c r="Q51" s="138"/>
      <c r="R51" s="140"/>
      <c r="S51" s="140"/>
    </row>
    <row r="52" spans="1:19" s="3" customFormat="1" ht="59.25" customHeight="1">
      <c r="A52" s="57"/>
      <c r="B52" s="120" t="s">
        <v>486</v>
      </c>
      <c r="C52" s="12"/>
      <c r="D52" s="65" t="s">
        <v>180</v>
      </c>
      <c r="E52" s="7" t="s">
        <v>47</v>
      </c>
      <c r="F52" s="7" t="s">
        <v>15</v>
      </c>
      <c r="G52" s="7" t="s">
        <v>48</v>
      </c>
      <c r="H52" s="38"/>
      <c r="I52" s="38"/>
      <c r="J52" s="38"/>
      <c r="K52" s="38" t="s">
        <v>905</v>
      </c>
      <c r="L52" s="44"/>
      <c r="M52" s="44"/>
      <c r="N52" s="77">
        <v>0</v>
      </c>
      <c r="O52" s="77">
        <v>0</v>
      </c>
      <c r="P52" s="77">
        <v>909.4</v>
      </c>
      <c r="Q52" s="77">
        <v>977.5</v>
      </c>
      <c r="R52" s="79">
        <v>1028.3</v>
      </c>
      <c r="S52" s="79">
        <v>1078.7</v>
      </c>
    </row>
    <row r="53" spans="1:19" s="3" customFormat="1" ht="59.25" customHeight="1">
      <c r="A53" s="57"/>
      <c r="B53" s="47" t="s">
        <v>1011</v>
      </c>
      <c r="C53" s="12"/>
      <c r="D53" s="65" t="s">
        <v>180</v>
      </c>
      <c r="E53" s="7" t="s">
        <v>47</v>
      </c>
      <c r="F53" s="7" t="s">
        <v>15</v>
      </c>
      <c r="G53" s="7" t="s">
        <v>48</v>
      </c>
      <c r="H53" s="38"/>
      <c r="I53" s="38"/>
      <c r="J53" s="38"/>
      <c r="K53" s="45" t="s">
        <v>1012</v>
      </c>
      <c r="L53" s="45" t="s">
        <v>358</v>
      </c>
      <c r="M53" s="45" t="s">
        <v>1013</v>
      </c>
      <c r="N53" s="77"/>
      <c r="O53" s="77"/>
      <c r="P53" s="77">
        <f>10988.25/1000</f>
        <v>10.98825</v>
      </c>
      <c r="Q53" s="77">
        <v>0</v>
      </c>
      <c r="R53" s="79">
        <v>0</v>
      </c>
      <c r="S53" s="79">
        <v>0</v>
      </c>
    </row>
    <row r="54" spans="1:19" s="3" customFormat="1" ht="100.5" customHeight="1">
      <c r="A54" s="158"/>
      <c r="B54" s="149" t="s">
        <v>363</v>
      </c>
      <c r="C54" s="12"/>
      <c r="D54" s="152" t="s">
        <v>354</v>
      </c>
      <c r="E54" s="142" t="s">
        <v>47</v>
      </c>
      <c r="F54" s="142" t="s">
        <v>15</v>
      </c>
      <c r="G54" s="142" t="s">
        <v>48</v>
      </c>
      <c r="H54" s="142"/>
      <c r="I54" s="142"/>
      <c r="J54" s="142"/>
      <c r="K54" s="36" t="s">
        <v>1015</v>
      </c>
      <c r="L54" s="36" t="s">
        <v>415</v>
      </c>
      <c r="M54" s="36" t="s">
        <v>416</v>
      </c>
      <c r="N54" s="137">
        <f>179227/1000</f>
        <v>179.227</v>
      </c>
      <c r="O54" s="137">
        <f>179226.12/1000</f>
        <v>179.22612</v>
      </c>
      <c r="P54" s="137">
        <v>316.9</v>
      </c>
      <c r="Q54" s="137">
        <v>336.5</v>
      </c>
      <c r="R54" s="139">
        <v>354</v>
      </c>
      <c r="S54" s="139">
        <v>371.4</v>
      </c>
    </row>
    <row r="55" spans="1:19" s="3" customFormat="1" ht="134.25" customHeight="1">
      <c r="A55" s="159"/>
      <c r="B55" s="151"/>
      <c r="C55" s="12"/>
      <c r="D55" s="154"/>
      <c r="E55" s="144"/>
      <c r="F55" s="144"/>
      <c r="G55" s="144"/>
      <c r="H55" s="144"/>
      <c r="I55" s="144"/>
      <c r="J55" s="144"/>
      <c r="K55" s="38" t="s">
        <v>1016</v>
      </c>
      <c r="L55" s="38" t="s">
        <v>238</v>
      </c>
      <c r="M55" s="38" t="s">
        <v>1017</v>
      </c>
      <c r="N55" s="138"/>
      <c r="O55" s="138"/>
      <c r="P55" s="138"/>
      <c r="Q55" s="138"/>
      <c r="R55" s="140"/>
      <c r="S55" s="140"/>
    </row>
    <row r="56" spans="1:19" s="2" customFormat="1" ht="72.75" customHeight="1">
      <c r="A56" s="53" t="s">
        <v>168</v>
      </c>
      <c r="B56" s="30" t="s">
        <v>169</v>
      </c>
      <c r="C56" s="16"/>
      <c r="D56" s="61"/>
      <c r="E56" s="7"/>
      <c r="F56" s="7"/>
      <c r="G56" s="7"/>
      <c r="H56" s="7"/>
      <c r="I56" s="7"/>
      <c r="J56" s="7"/>
      <c r="K56" s="7"/>
      <c r="L56" s="7"/>
      <c r="M56" s="7"/>
      <c r="N56" s="69"/>
      <c r="O56" s="69"/>
      <c r="P56" s="75"/>
      <c r="Q56" s="75"/>
      <c r="R56" s="97"/>
      <c r="S56" s="97"/>
    </row>
    <row r="57" spans="1:19" s="6" customFormat="1" ht="48" customHeight="1">
      <c r="A57" s="53" t="s">
        <v>284</v>
      </c>
      <c r="B57" s="30" t="s">
        <v>226</v>
      </c>
      <c r="C57" s="16"/>
      <c r="D57" s="64"/>
      <c r="E57" s="85"/>
      <c r="F57" s="85"/>
      <c r="G57" s="85"/>
      <c r="H57" s="28"/>
      <c r="I57" s="28"/>
      <c r="J57" s="28"/>
      <c r="K57" s="28"/>
      <c r="L57" s="28"/>
      <c r="M57" s="28"/>
      <c r="N57" s="68">
        <f aca="true" t="shared" si="4" ref="N57:S57">SUM(N58:N64)</f>
        <v>9517.718</v>
      </c>
      <c r="O57" s="68">
        <f t="shared" si="4"/>
        <v>9168.17296</v>
      </c>
      <c r="P57" s="68">
        <f t="shared" si="4"/>
        <v>1141.6</v>
      </c>
      <c r="Q57" s="68">
        <f t="shared" si="4"/>
        <v>746.2</v>
      </c>
      <c r="R57" s="68">
        <f t="shared" si="4"/>
        <v>784.9000000000001</v>
      </c>
      <c r="S57" s="68">
        <f t="shared" si="4"/>
        <v>823.4</v>
      </c>
    </row>
    <row r="58" spans="1:19" s="3" customFormat="1" ht="70.5" customHeight="1">
      <c r="A58" s="54"/>
      <c r="B58" s="11" t="s">
        <v>311</v>
      </c>
      <c r="C58" s="12"/>
      <c r="D58" s="61" t="s">
        <v>183</v>
      </c>
      <c r="E58" s="85" t="s">
        <v>47</v>
      </c>
      <c r="F58" s="85" t="s">
        <v>63</v>
      </c>
      <c r="G58" s="85" t="s">
        <v>48</v>
      </c>
      <c r="H58" s="7" t="s">
        <v>511</v>
      </c>
      <c r="I58" s="7" t="s">
        <v>512</v>
      </c>
      <c r="J58" s="7" t="s">
        <v>513</v>
      </c>
      <c r="K58" s="7" t="s">
        <v>412</v>
      </c>
      <c r="L58" s="7" t="s">
        <v>413</v>
      </c>
      <c r="M58" s="7" t="s">
        <v>414</v>
      </c>
      <c r="N58" s="69">
        <f>332520/1000</f>
        <v>332.52</v>
      </c>
      <c r="O58" s="69">
        <f>(209980.96+89601)/1000</f>
        <v>299.58196</v>
      </c>
      <c r="P58" s="69">
        <v>556.6</v>
      </c>
      <c r="Q58" s="69">
        <v>124.9</v>
      </c>
      <c r="R58" s="70">
        <v>131.4</v>
      </c>
      <c r="S58" s="70">
        <v>137.8</v>
      </c>
    </row>
    <row r="59" spans="1:19" s="3" customFormat="1" ht="84.75" customHeight="1">
      <c r="A59" s="54"/>
      <c r="B59" s="11" t="s">
        <v>312</v>
      </c>
      <c r="C59" s="12"/>
      <c r="D59" s="61" t="s">
        <v>183</v>
      </c>
      <c r="E59" s="7" t="s">
        <v>508</v>
      </c>
      <c r="F59" s="7" t="s">
        <v>509</v>
      </c>
      <c r="G59" s="7" t="s">
        <v>510</v>
      </c>
      <c r="H59" s="7" t="s">
        <v>516</v>
      </c>
      <c r="I59" s="7" t="s">
        <v>141</v>
      </c>
      <c r="J59" s="7" t="s">
        <v>517</v>
      </c>
      <c r="K59" s="7" t="s">
        <v>409</v>
      </c>
      <c r="L59" s="7" t="s">
        <v>410</v>
      </c>
      <c r="M59" s="7" t="s">
        <v>411</v>
      </c>
      <c r="N59" s="69">
        <f>100000/1000</f>
        <v>100</v>
      </c>
      <c r="O59" s="69">
        <f>83800/1000</f>
        <v>83.8</v>
      </c>
      <c r="P59" s="69">
        <v>106</v>
      </c>
      <c r="Q59" s="69">
        <v>112.6</v>
      </c>
      <c r="R59" s="70">
        <v>118.4</v>
      </c>
      <c r="S59" s="70">
        <v>124.2</v>
      </c>
    </row>
    <row r="60" spans="1:19" s="3" customFormat="1" ht="110.25" customHeight="1">
      <c r="A60" s="54"/>
      <c r="B60" s="11" t="s">
        <v>380</v>
      </c>
      <c r="C60" s="12"/>
      <c r="D60" s="61" t="s">
        <v>354</v>
      </c>
      <c r="E60" s="85" t="s">
        <v>47</v>
      </c>
      <c r="F60" s="85" t="s">
        <v>63</v>
      </c>
      <c r="G60" s="85" t="s">
        <v>48</v>
      </c>
      <c r="H60" s="7" t="s">
        <v>511</v>
      </c>
      <c r="I60" s="7" t="s">
        <v>512</v>
      </c>
      <c r="J60" s="7" t="s">
        <v>513</v>
      </c>
      <c r="K60" s="7" t="s">
        <v>488</v>
      </c>
      <c r="L60" s="7" t="s">
        <v>462</v>
      </c>
      <c r="M60" s="10" t="s">
        <v>400</v>
      </c>
      <c r="N60" s="69">
        <f>335873/1000</f>
        <v>335.873</v>
      </c>
      <c r="O60" s="69">
        <f>335873/1000</f>
        <v>335.873</v>
      </c>
      <c r="P60" s="69">
        <v>479</v>
      </c>
      <c r="Q60" s="69">
        <v>508.7</v>
      </c>
      <c r="R60" s="70">
        <v>535.1</v>
      </c>
      <c r="S60" s="70">
        <v>561.4</v>
      </c>
    </row>
    <row r="61" spans="1:19" s="3" customFormat="1" ht="97.5" customHeight="1">
      <c r="A61" s="158"/>
      <c r="B61" s="149" t="s">
        <v>419</v>
      </c>
      <c r="C61" s="34"/>
      <c r="D61" s="152" t="s">
        <v>183</v>
      </c>
      <c r="E61" s="174" t="s">
        <v>47</v>
      </c>
      <c r="F61" s="174" t="s">
        <v>63</v>
      </c>
      <c r="G61" s="174" t="s">
        <v>48</v>
      </c>
      <c r="H61" s="142" t="s">
        <v>518</v>
      </c>
      <c r="I61" s="142" t="s">
        <v>109</v>
      </c>
      <c r="J61" s="142" t="s">
        <v>519</v>
      </c>
      <c r="K61" s="36" t="s">
        <v>418</v>
      </c>
      <c r="L61" s="43" t="s">
        <v>94</v>
      </c>
      <c r="M61" s="43" t="s">
        <v>885</v>
      </c>
      <c r="N61" s="137">
        <f>1130000/1000</f>
        <v>1130</v>
      </c>
      <c r="O61" s="137">
        <f>1130000/1000</f>
        <v>1130</v>
      </c>
      <c r="P61" s="137">
        <v>0</v>
      </c>
      <c r="Q61" s="137">
        <v>0</v>
      </c>
      <c r="R61" s="139">
        <v>0</v>
      </c>
      <c r="S61" s="139">
        <v>0</v>
      </c>
    </row>
    <row r="62" spans="1:19" s="3" customFormat="1" ht="109.5" customHeight="1">
      <c r="A62" s="159"/>
      <c r="B62" s="151"/>
      <c r="C62" s="34"/>
      <c r="D62" s="154"/>
      <c r="E62" s="175"/>
      <c r="F62" s="175"/>
      <c r="G62" s="175"/>
      <c r="H62" s="144"/>
      <c r="I62" s="144"/>
      <c r="J62" s="144"/>
      <c r="K62" s="44" t="s">
        <v>465</v>
      </c>
      <c r="L62" s="44" t="s">
        <v>109</v>
      </c>
      <c r="M62" s="44" t="s">
        <v>466</v>
      </c>
      <c r="N62" s="138"/>
      <c r="O62" s="138"/>
      <c r="P62" s="138"/>
      <c r="Q62" s="138"/>
      <c r="R62" s="140"/>
      <c r="S62" s="140"/>
    </row>
    <row r="63" spans="1:19" s="3" customFormat="1" ht="111" customHeight="1">
      <c r="A63" s="54"/>
      <c r="B63" s="90" t="s">
        <v>673</v>
      </c>
      <c r="C63" s="88"/>
      <c r="D63" s="89" t="s">
        <v>183</v>
      </c>
      <c r="E63" s="85" t="s">
        <v>47</v>
      </c>
      <c r="F63" s="85" t="s">
        <v>63</v>
      </c>
      <c r="G63" s="85" t="s">
        <v>48</v>
      </c>
      <c r="H63" s="7" t="s">
        <v>733</v>
      </c>
      <c r="I63" s="7" t="s">
        <v>298</v>
      </c>
      <c r="J63" s="7" t="s">
        <v>734</v>
      </c>
      <c r="K63" s="48" t="s">
        <v>675</v>
      </c>
      <c r="L63" s="48" t="s">
        <v>676</v>
      </c>
      <c r="M63" s="48" t="s">
        <v>677</v>
      </c>
      <c r="N63" s="69">
        <f>273650/1000</f>
        <v>273.65</v>
      </c>
      <c r="O63" s="69">
        <f>273650/1000</f>
        <v>273.65</v>
      </c>
      <c r="P63" s="69">
        <v>0</v>
      </c>
      <c r="Q63" s="69">
        <v>0</v>
      </c>
      <c r="R63" s="70">
        <v>0</v>
      </c>
      <c r="S63" s="70">
        <v>0</v>
      </c>
    </row>
    <row r="64" spans="1:19" s="3" customFormat="1" ht="97.5" customHeight="1">
      <c r="A64" s="54"/>
      <c r="B64" s="90" t="s">
        <v>674</v>
      </c>
      <c r="C64" s="88"/>
      <c r="D64" s="89" t="s">
        <v>183</v>
      </c>
      <c r="E64" s="85" t="s">
        <v>47</v>
      </c>
      <c r="F64" s="85" t="s">
        <v>63</v>
      </c>
      <c r="G64" s="85" t="s">
        <v>48</v>
      </c>
      <c r="H64" s="7" t="s">
        <v>731</v>
      </c>
      <c r="I64" s="7" t="s">
        <v>298</v>
      </c>
      <c r="J64" s="7" t="s">
        <v>732</v>
      </c>
      <c r="K64" s="45" t="s">
        <v>678</v>
      </c>
      <c r="L64" s="45" t="s">
        <v>494</v>
      </c>
      <c r="M64" s="45" t="s">
        <v>679</v>
      </c>
      <c r="N64" s="69">
        <f>7345675/1000</f>
        <v>7345.675</v>
      </c>
      <c r="O64" s="69">
        <f>7045268/1000</f>
        <v>7045.268</v>
      </c>
      <c r="P64" s="69">
        <v>0</v>
      </c>
      <c r="Q64" s="69">
        <v>0</v>
      </c>
      <c r="R64" s="70">
        <v>0</v>
      </c>
      <c r="S64" s="70">
        <v>0</v>
      </c>
    </row>
    <row r="65" spans="1:19" s="2" customFormat="1" ht="36" customHeight="1">
      <c r="A65" s="53" t="s">
        <v>344</v>
      </c>
      <c r="B65" s="30" t="s">
        <v>345</v>
      </c>
      <c r="C65" s="16"/>
      <c r="D65" s="61"/>
      <c r="E65" s="7"/>
      <c r="F65" s="7"/>
      <c r="G65" s="7"/>
      <c r="H65" s="7"/>
      <c r="I65" s="7"/>
      <c r="J65" s="7"/>
      <c r="K65" s="7"/>
      <c r="L65" s="7"/>
      <c r="M65" s="7"/>
      <c r="N65" s="69"/>
      <c r="O65" s="69"/>
      <c r="P65" s="69"/>
      <c r="Q65" s="75"/>
      <c r="R65" s="97"/>
      <c r="S65" s="97"/>
    </row>
    <row r="66" spans="1:19" s="2" customFormat="1" ht="36" customHeight="1">
      <c r="A66" s="53" t="s">
        <v>283</v>
      </c>
      <c r="B66" s="30" t="s">
        <v>118</v>
      </c>
      <c r="C66" s="16"/>
      <c r="D66" s="61"/>
      <c r="E66" s="7"/>
      <c r="F66" s="7"/>
      <c r="G66" s="7"/>
      <c r="H66" s="7"/>
      <c r="I66" s="7"/>
      <c r="J66" s="7"/>
      <c r="K66" s="7"/>
      <c r="L66" s="7"/>
      <c r="M66" s="7"/>
      <c r="N66" s="69"/>
      <c r="O66" s="69"/>
      <c r="P66" s="69"/>
      <c r="Q66" s="75"/>
      <c r="R66" s="97"/>
      <c r="S66" s="97"/>
    </row>
    <row r="67" spans="1:19" s="2" customFormat="1" ht="107.25" customHeight="1">
      <c r="A67" s="53" t="s">
        <v>125</v>
      </c>
      <c r="B67" s="30" t="s">
        <v>88</v>
      </c>
      <c r="C67" s="16"/>
      <c r="D67" s="61"/>
      <c r="E67" s="7"/>
      <c r="F67" s="7"/>
      <c r="G67" s="7"/>
      <c r="H67" s="7"/>
      <c r="I67" s="7"/>
      <c r="J67" s="7"/>
      <c r="K67" s="7"/>
      <c r="L67" s="7"/>
      <c r="M67" s="7"/>
      <c r="N67" s="68">
        <f>SUM(N68:N116)</f>
        <v>253661.52669</v>
      </c>
      <c r="O67" s="68">
        <f>SUM(O68:O116)</f>
        <v>249056.60312999997</v>
      </c>
      <c r="P67" s="68">
        <f>SUM(P68:P121)</f>
        <v>279204.32489000005</v>
      </c>
      <c r="Q67" s="68">
        <f>SUM(Q68:Q121)</f>
        <v>232432.5</v>
      </c>
      <c r="R67" s="68">
        <f>SUM(R68:R121)</f>
        <v>244701.8</v>
      </c>
      <c r="S67" s="68">
        <f>SUM(S68:S121)</f>
        <v>255666.20000000004</v>
      </c>
    </row>
    <row r="68" spans="1:19" s="3" customFormat="1" ht="102" customHeight="1">
      <c r="A68" s="56"/>
      <c r="B68" s="40" t="s">
        <v>270</v>
      </c>
      <c r="C68" s="161"/>
      <c r="D68" s="123" t="s">
        <v>271</v>
      </c>
      <c r="E68" s="36" t="s">
        <v>47</v>
      </c>
      <c r="F68" s="36" t="s">
        <v>63</v>
      </c>
      <c r="G68" s="36" t="s">
        <v>48</v>
      </c>
      <c r="H68" s="142" t="s">
        <v>219</v>
      </c>
      <c r="I68" s="142" t="s">
        <v>225</v>
      </c>
      <c r="J68" s="142" t="s">
        <v>274</v>
      </c>
      <c r="K68" s="36" t="s">
        <v>883</v>
      </c>
      <c r="L68" s="36" t="s">
        <v>206</v>
      </c>
      <c r="M68" s="36" t="s">
        <v>46</v>
      </c>
      <c r="N68" s="137">
        <f>95792397.34/1000</f>
        <v>95792.39734000001</v>
      </c>
      <c r="O68" s="137">
        <f>95659681/1000</f>
        <v>95659.681</v>
      </c>
      <c r="P68" s="137">
        <f>104508416/1000+2000</f>
        <v>106508.416</v>
      </c>
      <c r="Q68" s="137">
        <v>116550.8</v>
      </c>
      <c r="R68" s="139">
        <v>122611.5</v>
      </c>
      <c r="S68" s="139">
        <v>128619.5</v>
      </c>
    </row>
    <row r="69" spans="1:19" s="3" customFormat="1" ht="48.75" customHeight="1">
      <c r="A69" s="133"/>
      <c r="B69" s="129"/>
      <c r="C69" s="161"/>
      <c r="D69" s="122"/>
      <c r="E69" s="37" t="s">
        <v>323</v>
      </c>
      <c r="F69" s="37" t="s">
        <v>520</v>
      </c>
      <c r="G69" s="37" t="s">
        <v>325</v>
      </c>
      <c r="H69" s="143"/>
      <c r="I69" s="143"/>
      <c r="J69" s="143"/>
      <c r="K69" s="143" t="s">
        <v>877</v>
      </c>
      <c r="L69" s="143" t="s">
        <v>287</v>
      </c>
      <c r="M69" s="143" t="s">
        <v>46</v>
      </c>
      <c r="N69" s="141"/>
      <c r="O69" s="141"/>
      <c r="P69" s="141"/>
      <c r="Q69" s="141"/>
      <c r="R69" s="145"/>
      <c r="S69" s="145"/>
    </row>
    <row r="70" spans="1:19" s="3" customFormat="1" ht="27.75" customHeight="1">
      <c r="A70" s="133"/>
      <c r="B70" s="129"/>
      <c r="C70" s="161"/>
      <c r="D70" s="122"/>
      <c r="E70" s="37" t="s">
        <v>288</v>
      </c>
      <c r="F70" s="37" t="s">
        <v>289</v>
      </c>
      <c r="G70" s="37" t="s">
        <v>291</v>
      </c>
      <c r="H70" s="143" t="s">
        <v>320</v>
      </c>
      <c r="I70" s="143" t="s">
        <v>143</v>
      </c>
      <c r="J70" s="143" t="s">
        <v>239</v>
      </c>
      <c r="K70" s="143"/>
      <c r="L70" s="143"/>
      <c r="M70" s="143"/>
      <c r="N70" s="141"/>
      <c r="O70" s="141"/>
      <c r="P70" s="141"/>
      <c r="Q70" s="141"/>
      <c r="R70" s="145"/>
      <c r="S70" s="145"/>
    </row>
    <row r="71" spans="1:19" s="3" customFormat="1" ht="141" customHeight="1">
      <c r="A71" s="133"/>
      <c r="B71" s="129"/>
      <c r="C71" s="161"/>
      <c r="D71" s="122"/>
      <c r="E71" s="37" t="s">
        <v>57</v>
      </c>
      <c r="F71" s="37" t="s">
        <v>290</v>
      </c>
      <c r="G71" s="37" t="s">
        <v>142</v>
      </c>
      <c r="H71" s="143"/>
      <c r="I71" s="143"/>
      <c r="J71" s="143"/>
      <c r="K71" s="143"/>
      <c r="L71" s="143"/>
      <c r="M71" s="143"/>
      <c r="N71" s="141"/>
      <c r="O71" s="141"/>
      <c r="P71" s="141"/>
      <c r="Q71" s="141"/>
      <c r="R71" s="145"/>
      <c r="S71" s="145"/>
    </row>
    <row r="72" spans="1:19" s="3" customFormat="1" ht="88.5" customHeight="1">
      <c r="A72" s="133"/>
      <c r="B72" s="129"/>
      <c r="C72" s="12"/>
      <c r="D72" s="124"/>
      <c r="E72" s="38" t="s">
        <v>323</v>
      </c>
      <c r="F72" s="38" t="s">
        <v>201</v>
      </c>
      <c r="G72" s="38" t="s">
        <v>325</v>
      </c>
      <c r="H72" s="38" t="s">
        <v>219</v>
      </c>
      <c r="I72" s="38" t="s">
        <v>202</v>
      </c>
      <c r="J72" s="119" t="s">
        <v>203</v>
      </c>
      <c r="K72" s="38" t="s">
        <v>217</v>
      </c>
      <c r="L72" s="38" t="s">
        <v>204</v>
      </c>
      <c r="M72" s="38" t="s">
        <v>46</v>
      </c>
      <c r="N72" s="77"/>
      <c r="O72" s="77"/>
      <c r="P72" s="131"/>
      <c r="Q72" s="77"/>
      <c r="R72" s="79"/>
      <c r="S72" s="79"/>
    </row>
    <row r="73" spans="1:19" s="3" customFormat="1" ht="43.5" customHeight="1">
      <c r="A73" s="158"/>
      <c r="B73" s="180" t="s">
        <v>176</v>
      </c>
      <c r="C73" s="161"/>
      <c r="D73" s="62" t="s">
        <v>271</v>
      </c>
      <c r="E73" s="162" t="s">
        <v>323</v>
      </c>
      <c r="F73" s="162" t="s">
        <v>201</v>
      </c>
      <c r="G73" s="162" t="s">
        <v>325</v>
      </c>
      <c r="H73" s="162" t="s">
        <v>219</v>
      </c>
      <c r="I73" s="162" t="s">
        <v>202</v>
      </c>
      <c r="J73" s="170" t="s">
        <v>203</v>
      </c>
      <c r="K73" s="162" t="s">
        <v>217</v>
      </c>
      <c r="L73" s="162" t="s">
        <v>204</v>
      </c>
      <c r="M73" s="162" t="s">
        <v>46</v>
      </c>
      <c r="N73" s="71">
        <f>190400/1000</f>
        <v>190.4</v>
      </c>
      <c r="O73" s="71">
        <f>190300/1000</f>
        <v>190.3</v>
      </c>
      <c r="P73" s="130"/>
      <c r="Q73" s="71"/>
      <c r="R73" s="74"/>
      <c r="S73" s="74"/>
    </row>
    <row r="74" spans="1:19" s="3" customFormat="1" ht="43.5" customHeight="1">
      <c r="A74" s="159"/>
      <c r="B74" s="180"/>
      <c r="C74" s="161"/>
      <c r="D74" s="65" t="s">
        <v>22</v>
      </c>
      <c r="E74" s="162"/>
      <c r="F74" s="162"/>
      <c r="G74" s="162"/>
      <c r="H74" s="162"/>
      <c r="I74" s="162"/>
      <c r="J74" s="162"/>
      <c r="K74" s="162"/>
      <c r="L74" s="162"/>
      <c r="M74" s="162"/>
      <c r="N74" s="77">
        <f>112750/1000</f>
        <v>112.75</v>
      </c>
      <c r="O74" s="77">
        <f>110450/1000</f>
        <v>110.45</v>
      </c>
      <c r="P74" s="131"/>
      <c r="Q74" s="77"/>
      <c r="R74" s="79"/>
      <c r="S74" s="79"/>
    </row>
    <row r="75" spans="1:19" s="3" customFormat="1" ht="85.5" customHeight="1">
      <c r="A75" s="56"/>
      <c r="B75" s="149" t="s">
        <v>137</v>
      </c>
      <c r="C75" s="34"/>
      <c r="D75" s="123" t="s">
        <v>22</v>
      </c>
      <c r="E75" s="36" t="s">
        <v>47</v>
      </c>
      <c r="F75" s="36" t="s">
        <v>63</v>
      </c>
      <c r="G75" s="36" t="s">
        <v>48</v>
      </c>
      <c r="H75" s="142" t="s">
        <v>219</v>
      </c>
      <c r="I75" s="142" t="s">
        <v>225</v>
      </c>
      <c r="J75" s="146" t="s">
        <v>203</v>
      </c>
      <c r="K75" s="36" t="s">
        <v>1018</v>
      </c>
      <c r="L75" s="36" t="s">
        <v>109</v>
      </c>
      <c r="M75" s="36" t="s">
        <v>154</v>
      </c>
      <c r="N75" s="137">
        <f>46173521.39/1000</f>
        <v>46173.52139</v>
      </c>
      <c r="O75" s="137">
        <f>45418598.62/1000</f>
        <v>45418.59862</v>
      </c>
      <c r="P75" s="137">
        <f>49320608.89/1000+1765+9</f>
        <v>51094.60889</v>
      </c>
      <c r="Q75" s="137">
        <f>54845.5+5310.2</f>
        <v>60155.7</v>
      </c>
      <c r="R75" s="139">
        <f>57697.5+5946.1</f>
        <v>63643.6</v>
      </c>
      <c r="S75" s="139">
        <f>60524.7+5559.8</f>
        <v>66084.5</v>
      </c>
    </row>
    <row r="76" spans="1:19" s="3" customFormat="1" ht="60" customHeight="1">
      <c r="A76" s="133"/>
      <c r="B76" s="150"/>
      <c r="C76" s="96"/>
      <c r="D76" s="122"/>
      <c r="E76" s="37" t="s">
        <v>323</v>
      </c>
      <c r="F76" s="37" t="s">
        <v>520</v>
      </c>
      <c r="G76" s="37" t="s">
        <v>325</v>
      </c>
      <c r="H76" s="143"/>
      <c r="I76" s="143"/>
      <c r="J76" s="147"/>
      <c r="K76" s="128" t="s">
        <v>467</v>
      </c>
      <c r="L76" s="128" t="s">
        <v>238</v>
      </c>
      <c r="M76" s="128" t="s">
        <v>468</v>
      </c>
      <c r="N76" s="141"/>
      <c r="O76" s="141"/>
      <c r="P76" s="141"/>
      <c r="Q76" s="141"/>
      <c r="R76" s="145"/>
      <c r="S76" s="145"/>
    </row>
    <row r="77" spans="1:19" s="3" customFormat="1" ht="74.25" customHeight="1">
      <c r="A77" s="133"/>
      <c r="B77" s="129"/>
      <c r="C77" s="185"/>
      <c r="D77" s="122"/>
      <c r="E77" s="37" t="s">
        <v>288</v>
      </c>
      <c r="F77" s="37" t="s">
        <v>289</v>
      </c>
      <c r="G77" s="37" t="s">
        <v>291</v>
      </c>
      <c r="H77" s="143" t="s">
        <v>320</v>
      </c>
      <c r="I77" s="143" t="s">
        <v>143</v>
      </c>
      <c r="J77" s="143" t="s">
        <v>239</v>
      </c>
      <c r="K77" s="143" t="s">
        <v>877</v>
      </c>
      <c r="L77" s="143" t="s">
        <v>287</v>
      </c>
      <c r="M77" s="143" t="s">
        <v>46</v>
      </c>
      <c r="N77" s="141"/>
      <c r="O77" s="141"/>
      <c r="P77" s="141"/>
      <c r="Q77" s="141"/>
      <c r="R77" s="145"/>
      <c r="S77" s="145"/>
    </row>
    <row r="78" spans="1:19" s="3" customFormat="1" ht="141.75" customHeight="1">
      <c r="A78" s="133"/>
      <c r="B78" s="129"/>
      <c r="C78" s="186"/>
      <c r="D78" s="122"/>
      <c r="E78" s="37" t="s">
        <v>57</v>
      </c>
      <c r="F78" s="37" t="s">
        <v>290</v>
      </c>
      <c r="G78" s="37" t="s">
        <v>142</v>
      </c>
      <c r="H78" s="143"/>
      <c r="I78" s="143"/>
      <c r="J78" s="143"/>
      <c r="K78" s="143"/>
      <c r="L78" s="143"/>
      <c r="M78" s="143"/>
      <c r="N78" s="141"/>
      <c r="O78" s="141"/>
      <c r="P78" s="141"/>
      <c r="Q78" s="141"/>
      <c r="R78" s="145"/>
      <c r="S78" s="145"/>
    </row>
    <row r="79" spans="1:19" s="3" customFormat="1" ht="50.25" customHeight="1">
      <c r="A79" s="133"/>
      <c r="B79" s="129"/>
      <c r="C79" s="12"/>
      <c r="D79" s="122"/>
      <c r="E79" s="37"/>
      <c r="F79" s="37"/>
      <c r="G79" s="37"/>
      <c r="H79" s="37"/>
      <c r="I79" s="37"/>
      <c r="J79" s="37"/>
      <c r="K79" s="37" t="s">
        <v>229</v>
      </c>
      <c r="L79" s="37" t="s">
        <v>298</v>
      </c>
      <c r="M79" s="37" t="s">
        <v>230</v>
      </c>
      <c r="N79" s="72">
        <f>1390306/1000</f>
        <v>1390.306</v>
      </c>
      <c r="O79" s="72">
        <f>1390268.48/1000</f>
        <v>1390.26848</v>
      </c>
      <c r="P79" s="72"/>
      <c r="Q79" s="72"/>
      <c r="R79" s="86"/>
      <c r="S79" s="86"/>
    </row>
    <row r="80" spans="1:19" s="3" customFormat="1" ht="85.5" customHeight="1">
      <c r="A80" s="132"/>
      <c r="B80" s="120"/>
      <c r="C80" s="12"/>
      <c r="D80" s="124"/>
      <c r="E80" s="38"/>
      <c r="F80" s="38"/>
      <c r="G80" s="38"/>
      <c r="H80" s="38"/>
      <c r="I80" s="38"/>
      <c r="J80" s="38"/>
      <c r="K80" s="38" t="s">
        <v>884</v>
      </c>
      <c r="L80" s="38" t="s">
        <v>298</v>
      </c>
      <c r="M80" s="38" t="s">
        <v>218</v>
      </c>
      <c r="N80" s="77">
        <f>118468/1000</f>
        <v>118.468</v>
      </c>
      <c r="O80" s="77">
        <f>118468/1000</f>
        <v>118.468</v>
      </c>
      <c r="P80" s="131"/>
      <c r="Q80" s="77"/>
      <c r="R80" s="79"/>
      <c r="S80" s="79"/>
    </row>
    <row r="81" spans="1:19" s="3" customFormat="1" ht="75.75" customHeight="1">
      <c r="A81" s="54"/>
      <c r="B81" s="11" t="s">
        <v>772</v>
      </c>
      <c r="C81" s="12"/>
      <c r="D81" s="61" t="s">
        <v>22</v>
      </c>
      <c r="E81" s="7" t="s">
        <v>323</v>
      </c>
      <c r="F81" s="7" t="s">
        <v>324</v>
      </c>
      <c r="G81" s="7" t="s">
        <v>325</v>
      </c>
      <c r="H81" s="7" t="s">
        <v>1001</v>
      </c>
      <c r="I81" s="7" t="s">
        <v>1002</v>
      </c>
      <c r="J81" s="7" t="s">
        <v>469</v>
      </c>
      <c r="K81" s="7" t="s">
        <v>923</v>
      </c>
      <c r="L81" s="7" t="s">
        <v>298</v>
      </c>
      <c r="M81" s="10" t="s">
        <v>154</v>
      </c>
      <c r="N81" s="69">
        <f>3563000/1000</f>
        <v>3563</v>
      </c>
      <c r="O81" s="69">
        <f>3475642.02/1000</f>
        <v>3475.6420200000002</v>
      </c>
      <c r="P81" s="69">
        <f>3407000/1000</f>
        <v>3407</v>
      </c>
      <c r="Q81" s="69">
        <v>3407</v>
      </c>
      <c r="R81" s="70">
        <v>3407</v>
      </c>
      <c r="S81" s="70">
        <v>3407</v>
      </c>
    </row>
    <row r="82" spans="1:19" s="3" customFormat="1" ht="34.5" customHeight="1">
      <c r="A82" s="176"/>
      <c r="B82" s="180" t="s">
        <v>322</v>
      </c>
      <c r="C82" s="12"/>
      <c r="D82" s="62" t="s">
        <v>271</v>
      </c>
      <c r="E82" s="36" t="s">
        <v>323</v>
      </c>
      <c r="F82" s="36" t="s">
        <v>520</v>
      </c>
      <c r="G82" s="36" t="s">
        <v>325</v>
      </c>
      <c r="H82" s="142" t="s">
        <v>219</v>
      </c>
      <c r="I82" s="142" t="s">
        <v>225</v>
      </c>
      <c r="J82" s="142" t="s">
        <v>203</v>
      </c>
      <c r="K82" s="162" t="s">
        <v>481</v>
      </c>
      <c r="L82" s="142" t="s">
        <v>462</v>
      </c>
      <c r="M82" s="142" t="s">
        <v>400</v>
      </c>
      <c r="N82" s="76">
        <f>2712802.2/1000</f>
        <v>2712.8022</v>
      </c>
      <c r="O82" s="71">
        <f>2712770.97/1000</f>
        <v>2712.77097</v>
      </c>
      <c r="P82" s="71"/>
      <c r="Q82" s="71"/>
      <c r="R82" s="74"/>
      <c r="S82" s="74"/>
    </row>
    <row r="83" spans="1:19" s="3" customFormat="1" ht="31.5" customHeight="1">
      <c r="A83" s="176"/>
      <c r="B83" s="180"/>
      <c r="C83" s="12"/>
      <c r="D83" s="63" t="s">
        <v>22</v>
      </c>
      <c r="E83" s="143" t="s">
        <v>47</v>
      </c>
      <c r="F83" s="143" t="s">
        <v>63</v>
      </c>
      <c r="G83" s="143" t="s">
        <v>48</v>
      </c>
      <c r="H83" s="143"/>
      <c r="I83" s="143"/>
      <c r="J83" s="143"/>
      <c r="K83" s="162"/>
      <c r="L83" s="143"/>
      <c r="M83" s="143"/>
      <c r="N83" s="80">
        <f>4754628.8/1000</f>
        <v>4754.6287999999995</v>
      </c>
      <c r="O83" s="72">
        <f>4753263.8/1000</f>
        <v>4753.2638</v>
      </c>
      <c r="P83" s="72"/>
      <c r="Q83" s="72"/>
      <c r="R83" s="86"/>
      <c r="S83" s="86"/>
    </row>
    <row r="84" spans="1:19" s="3" customFormat="1" ht="31.5" customHeight="1">
      <c r="A84" s="176"/>
      <c r="B84" s="180"/>
      <c r="C84" s="12"/>
      <c r="D84" s="65" t="s">
        <v>22</v>
      </c>
      <c r="E84" s="144"/>
      <c r="F84" s="144"/>
      <c r="G84" s="144"/>
      <c r="H84" s="144"/>
      <c r="I84" s="144"/>
      <c r="J84" s="144"/>
      <c r="K84" s="162"/>
      <c r="L84" s="144"/>
      <c r="M84" s="144"/>
      <c r="N84" s="78">
        <f>450000/1000</f>
        <v>450</v>
      </c>
      <c r="O84" s="77">
        <f>450000/1000</f>
        <v>450</v>
      </c>
      <c r="P84" s="77"/>
      <c r="Q84" s="77"/>
      <c r="R84" s="79"/>
      <c r="S84" s="79"/>
    </row>
    <row r="85" spans="1:19" s="3" customFormat="1" ht="61.5" customHeight="1">
      <c r="A85" s="158"/>
      <c r="B85" s="149" t="s">
        <v>145</v>
      </c>
      <c r="C85" s="12"/>
      <c r="D85" s="152" t="s">
        <v>22</v>
      </c>
      <c r="E85" s="36" t="s">
        <v>323</v>
      </c>
      <c r="F85" s="36" t="s">
        <v>92</v>
      </c>
      <c r="G85" s="36" t="s">
        <v>325</v>
      </c>
      <c r="H85" s="36" t="s">
        <v>219</v>
      </c>
      <c r="I85" s="36" t="s">
        <v>225</v>
      </c>
      <c r="J85" s="36" t="s">
        <v>203</v>
      </c>
      <c r="K85" s="36" t="s">
        <v>205</v>
      </c>
      <c r="L85" s="36" t="s">
        <v>206</v>
      </c>
      <c r="M85" s="118" t="s">
        <v>46</v>
      </c>
      <c r="N85" s="137">
        <f>36787409.96/1000</f>
        <v>36787.409960000005</v>
      </c>
      <c r="O85" s="137">
        <f>36782635.88/1000</f>
        <v>36782.63588</v>
      </c>
      <c r="P85" s="137">
        <f>38179600/1000+335</f>
        <v>38514.6</v>
      </c>
      <c r="Q85" s="137">
        <v>42465.4</v>
      </c>
      <c r="R85" s="139">
        <v>44673.6</v>
      </c>
      <c r="S85" s="139">
        <v>46862.6</v>
      </c>
    </row>
    <row r="86" spans="1:19" s="3" customFormat="1" ht="75" customHeight="1">
      <c r="A86" s="160"/>
      <c r="B86" s="150"/>
      <c r="C86" s="185"/>
      <c r="D86" s="153"/>
      <c r="E86" s="37" t="s">
        <v>288</v>
      </c>
      <c r="F86" s="37" t="s">
        <v>289</v>
      </c>
      <c r="G86" s="37" t="s">
        <v>291</v>
      </c>
      <c r="H86" s="143" t="s">
        <v>320</v>
      </c>
      <c r="I86" s="143" t="s">
        <v>143</v>
      </c>
      <c r="J86" s="143" t="s">
        <v>239</v>
      </c>
      <c r="K86" s="143" t="s">
        <v>877</v>
      </c>
      <c r="L86" s="143" t="s">
        <v>287</v>
      </c>
      <c r="M86" s="143" t="s">
        <v>46</v>
      </c>
      <c r="N86" s="141"/>
      <c r="O86" s="141"/>
      <c r="P86" s="141"/>
      <c r="Q86" s="141"/>
      <c r="R86" s="145"/>
      <c r="S86" s="145"/>
    </row>
    <row r="87" spans="1:19" s="3" customFormat="1" ht="140.25" customHeight="1">
      <c r="A87" s="159"/>
      <c r="B87" s="151"/>
      <c r="C87" s="186"/>
      <c r="D87" s="154"/>
      <c r="E87" s="38" t="s">
        <v>57</v>
      </c>
      <c r="F87" s="38" t="s">
        <v>290</v>
      </c>
      <c r="G87" s="38" t="s">
        <v>142</v>
      </c>
      <c r="H87" s="144"/>
      <c r="I87" s="144"/>
      <c r="J87" s="144"/>
      <c r="K87" s="144"/>
      <c r="L87" s="144"/>
      <c r="M87" s="144"/>
      <c r="N87" s="138"/>
      <c r="O87" s="138"/>
      <c r="P87" s="138"/>
      <c r="Q87" s="138"/>
      <c r="R87" s="140"/>
      <c r="S87" s="140"/>
    </row>
    <row r="88" spans="1:19" s="3" customFormat="1" ht="84.75" customHeight="1">
      <c r="A88" s="54"/>
      <c r="B88" s="11" t="s">
        <v>16</v>
      </c>
      <c r="C88" s="12"/>
      <c r="D88" s="61" t="s">
        <v>22</v>
      </c>
      <c r="E88" s="7" t="s">
        <v>323</v>
      </c>
      <c r="F88" s="7" t="s">
        <v>324</v>
      </c>
      <c r="G88" s="7" t="s">
        <v>325</v>
      </c>
      <c r="H88" s="7"/>
      <c r="I88" s="7"/>
      <c r="J88" s="7"/>
      <c r="K88" s="7" t="s">
        <v>923</v>
      </c>
      <c r="L88" s="7" t="s">
        <v>298</v>
      </c>
      <c r="M88" s="10" t="s">
        <v>154</v>
      </c>
      <c r="N88" s="69">
        <f>3314359/1000</f>
        <v>3314.359</v>
      </c>
      <c r="O88" s="69">
        <f>3296275.2/1000</f>
        <v>3296.2752</v>
      </c>
      <c r="P88" s="69">
        <f>390.3+3415.4</f>
        <v>3805.7000000000003</v>
      </c>
      <c r="Q88" s="69">
        <v>4041.6</v>
      </c>
      <c r="R88" s="70">
        <v>4251.8</v>
      </c>
      <c r="S88" s="70">
        <v>4460.2</v>
      </c>
    </row>
    <row r="89" spans="1:19" s="3" customFormat="1" ht="95.25" customHeight="1">
      <c r="A89" s="54"/>
      <c r="B89" s="11" t="s">
        <v>361</v>
      </c>
      <c r="C89" s="12"/>
      <c r="D89" s="61" t="s">
        <v>22</v>
      </c>
      <c r="E89" s="7" t="s">
        <v>323</v>
      </c>
      <c r="F89" s="7" t="s">
        <v>324</v>
      </c>
      <c r="G89" s="7" t="s">
        <v>325</v>
      </c>
      <c r="H89" s="38" t="s">
        <v>521</v>
      </c>
      <c r="I89" s="38" t="s">
        <v>522</v>
      </c>
      <c r="J89" s="38" t="s">
        <v>491</v>
      </c>
      <c r="K89" s="7" t="s">
        <v>481</v>
      </c>
      <c r="L89" s="7" t="s">
        <v>462</v>
      </c>
      <c r="M89" s="10" t="s">
        <v>400</v>
      </c>
      <c r="N89" s="69">
        <f>378000/1000</f>
        <v>378</v>
      </c>
      <c r="O89" s="69">
        <f>378000/1000</f>
        <v>378</v>
      </c>
      <c r="P89" s="69">
        <v>0</v>
      </c>
      <c r="Q89" s="69">
        <v>0</v>
      </c>
      <c r="R89" s="70">
        <v>0</v>
      </c>
      <c r="S89" s="70">
        <v>0</v>
      </c>
    </row>
    <row r="90" spans="1:19" s="3" customFormat="1" ht="112.5" customHeight="1">
      <c r="A90" s="54"/>
      <c r="B90" s="11" t="s">
        <v>111</v>
      </c>
      <c r="C90" s="12"/>
      <c r="D90" s="61" t="s">
        <v>22</v>
      </c>
      <c r="E90" s="7" t="s">
        <v>323</v>
      </c>
      <c r="F90" s="7" t="s">
        <v>324</v>
      </c>
      <c r="G90" s="7" t="s">
        <v>325</v>
      </c>
      <c r="H90" s="7" t="s">
        <v>523</v>
      </c>
      <c r="I90" s="7" t="s">
        <v>141</v>
      </c>
      <c r="J90" s="7" t="s">
        <v>524</v>
      </c>
      <c r="K90" s="45" t="s">
        <v>930</v>
      </c>
      <c r="L90" s="45" t="s">
        <v>245</v>
      </c>
      <c r="M90" s="45" t="s">
        <v>931</v>
      </c>
      <c r="N90" s="69">
        <f>19371229/1000</f>
        <v>19371.229</v>
      </c>
      <c r="O90" s="69">
        <f>19370920.65/1000</f>
        <v>19370.92065</v>
      </c>
      <c r="P90" s="69">
        <v>13895.9</v>
      </c>
      <c r="Q90" s="73">
        <v>0</v>
      </c>
      <c r="R90" s="73">
        <v>0</v>
      </c>
      <c r="S90" s="73">
        <v>0</v>
      </c>
    </row>
    <row r="91" spans="1:19" s="3" customFormat="1" ht="63" customHeight="1">
      <c r="A91" s="54"/>
      <c r="B91" s="11" t="s">
        <v>126</v>
      </c>
      <c r="C91" s="12"/>
      <c r="D91" s="61" t="s">
        <v>182</v>
      </c>
      <c r="E91" s="7" t="s">
        <v>47</v>
      </c>
      <c r="F91" s="7" t="s">
        <v>326</v>
      </c>
      <c r="G91" s="7" t="s">
        <v>48</v>
      </c>
      <c r="H91" s="7"/>
      <c r="I91" s="7"/>
      <c r="J91" s="7"/>
      <c r="K91" s="7" t="s">
        <v>1003</v>
      </c>
      <c r="L91" s="7" t="s">
        <v>298</v>
      </c>
      <c r="M91" s="10" t="s">
        <v>305</v>
      </c>
      <c r="N91" s="69">
        <f>11043/1000</f>
        <v>11.043</v>
      </c>
      <c r="O91" s="69">
        <f>11043/1000</f>
        <v>11.043</v>
      </c>
      <c r="P91" s="69">
        <v>1579.1</v>
      </c>
      <c r="Q91" s="69">
        <v>1677</v>
      </c>
      <c r="R91" s="70">
        <v>1764.2</v>
      </c>
      <c r="S91" s="70">
        <v>1850.6</v>
      </c>
    </row>
    <row r="92" spans="1:19" s="3" customFormat="1" ht="132.75" customHeight="1">
      <c r="A92" s="54"/>
      <c r="B92" s="11" t="s">
        <v>269</v>
      </c>
      <c r="C92" s="12"/>
      <c r="D92" s="61" t="s">
        <v>182</v>
      </c>
      <c r="E92" s="7" t="s">
        <v>47</v>
      </c>
      <c r="F92" s="7" t="s">
        <v>326</v>
      </c>
      <c r="G92" s="7" t="s">
        <v>48</v>
      </c>
      <c r="H92" s="7" t="s">
        <v>504</v>
      </c>
      <c r="I92" s="7" t="s">
        <v>525</v>
      </c>
      <c r="J92" s="7" t="s">
        <v>506</v>
      </c>
      <c r="K92" s="7" t="s">
        <v>1019</v>
      </c>
      <c r="L92" s="7" t="s">
        <v>231</v>
      </c>
      <c r="M92" s="10" t="s">
        <v>1020</v>
      </c>
      <c r="N92" s="69">
        <f>3134900/1000</f>
        <v>3134.9</v>
      </c>
      <c r="O92" s="69">
        <f>3130234.8/1000</f>
        <v>3130.2347999999997</v>
      </c>
      <c r="P92" s="69">
        <v>3323</v>
      </c>
      <c r="Q92" s="69">
        <v>3519.1</v>
      </c>
      <c r="R92" s="69">
        <v>3702.1</v>
      </c>
      <c r="S92" s="69">
        <v>3702.1</v>
      </c>
    </row>
    <row r="93" spans="1:19" s="3" customFormat="1" ht="96" customHeight="1">
      <c r="A93" s="54"/>
      <c r="B93" s="11" t="s">
        <v>600</v>
      </c>
      <c r="C93" s="12"/>
      <c r="D93" s="61" t="s">
        <v>271</v>
      </c>
      <c r="E93" s="7" t="s">
        <v>47</v>
      </c>
      <c r="F93" s="7" t="s">
        <v>15</v>
      </c>
      <c r="G93" s="7" t="s">
        <v>48</v>
      </c>
      <c r="H93" s="7" t="s">
        <v>219</v>
      </c>
      <c r="I93" s="7" t="s">
        <v>225</v>
      </c>
      <c r="J93" s="7" t="s">
        <v>203</v>
      </c>
      <c r="K93" s="7" t="s">
        <v>481</v>
      </c>
      <c r="L93" s="7" t="s">
        <v>462</v>
      </c>
      <c r="M93" s="10" t="s">
        <v>400</v>
      </c>
      <c r="N93" s="69">
        <f>99000/1000</f>
        <v>99</v>
      </c>
      <c r="O93" s="69">
        <f>99000/1000</f>
        <v>99</v>
      </c>
      <c r="P93" s="69">
        <v>0</v>
      </c>
      <c r="Q93" s="69">
        <v>0</v>
      </c>
      <c r="R93" s="70">
        <v>0</v>
      </c>
      <c r="S93" s="70">
        <v>0</v>
      </c>
    </row>
    <row r="94" spans="1:19" s="3" customFormat="1" ht="98.25" customHeight="1">
      <c r="A94" s="54"/>
      <c r="B94" s="11" t="s">
        <v>601</v>
      </c>
      <c r="C94" s="12"/>
      <c r="D94" s="61" t="s">
        <v>22</v>
      </c>
      <c r="E94" s="7" t="s">
        <v>47</v>
      </c>
      <c r="F94" s="7" t="s">
        <v>602</v>
      </c>
      <c r="G94" s="7" t="s">
        <v>48</v>
      </c>
      <c r="H94" s="7" t="s">
        <v>219</v>
      </c>
      <c r="I94" s="7" t="s">
        <v>541</v>
      </c>
      <c r="J94" s="7" t="s">
        <v>203</v>
      </c>
      <c r="K94" s="7" t="s">
        <v>481</v>
      </c>
      <c r="L94" s="7" t="s">
        <v>462</v>
      </c>
      <c r="M94" s="10" t="s">
        <v>400</v>
      </c>
      <c r="N94" s="69">
        <f>151000/1000</f>
        <v>151</v>
      </c>
      <c r="O94" s="69">
        <f>151000/1000</f>
        <v>151</v>
      </c>
      <c r="P94" s="69">
        <v>0</v>
      </c>
      <c r="Q94" s="69">
        <v>0</v>
      </c>
      <c r="R94" s="70">
        <v>0</v>
      </c>
      <c r="S94" s="70">
        <v>0</v>
      </c>
    </row>
    <row r="95" spans="1:19" s="3" customFormat="1" ht="100.5" customHeight="1">
      <c r="A95" s="54"/>
      <c r="B95" s="11" t="s">
        <v>603</v>
      </c>
      <c r="C95" s="12"/>
      <c r="D95" s="61" t="s">
        <v>271</v>
      </c>
      <c r="E95" s="7" t="s">
        <v>47</v>
      </c>
      <c r="F95" s="7" t="s">
        <v>605</v>
      </c>
      <c r="G95" s="7" t="s">
        <v>48</v>
      </c>
      <c r="H95" s="7" t="s">
        <v>604</v>
      </c>
      <c r="I95" s="7" t="s">
        <v>298</v>
      </c>
      <c r="J95" s="7" t="s">
        <v>469</v>
      </c>
      <c r="K95" s="45" t="s">
        <v>932</v>
      </c>
      <c r="L95" s="45" t="s">
        <v>933</v>
      </c>
      <c r="M95" s="45" t="s">
        <v>934</v>
      </c>
      <c r="N95" s="69">
        <f>2291000/1000</f>
        <v>2291</v>
      </c>
      <c r="O95" s="69">
        <f>2290994.76/1000</f>
        <v>2290.9947599999996</v>
      </c>
      <c r="P95" s="69">
        <v>3200</v>
      </c>
      <c r="Q95" s="69">
        <v>0</v>
      </c>
      <c r="R95" s="70">
        <v>0</v>
      </c>
      <c r="S95" s="70">
        <v>0</v>
      </c>
    </row>
    <row r="96" spans="1:19" s="3" customFormat="1" ht="63" customHeight="1">
      <c r="A96" s="158"/>
      <c r="B96" s="163" t="s">
        <v>621</v>
      </c>
      <c r="C96" s="34"/>
      <c r="D96" s="152" t="s">
        <v>271</v>
      </c>
      <c r="E96" s="142" t="s">
        <v>47</v>
      </c>
      <c r="F96" s="142" t="s">
        <v>326</v>
      </c>
      <c r="G96" s="142" t="s">
        <v>48</v>
      </c>
      <c r="H96" s="142" t="s">
        <v>504</v>
      </c>
      <c r="I96" s="142" t="s">
        <v>622</v>
      </c>
      <c r="J96" s="171" t="s">
        <v>506</v>
      </c>
      <c r="K96" s="102" t="s">
        <v>623</v>
      </c>
      <c r="L96" s="102" t="s">
        <v>298</v>
      </c>
      <c r="M96" s="103" t="s">
        <v>624</v>
      </c>
      <c r="N96" s="137">
        <f>15034000/1000</f>
        <v>15034</v>
      </c>
      <c r="O96" s="137">
        <f>15033999.95/1000</f>
        <v>15033.99995</v>
      </c>
      <c r="P96" s="137">
        <v>10400</v>
      </c>
      <c r="Q96" s="137">
        <v>0</v>
      </c>
      <c r="R96" s="139">
        <v>0</v>
      </c>
      <c r="S96" s="139">
        <v>0</v>
      </c>
    </row>
    <row r="97" spans="1:19" s="3" customFormat="1" ht="60.75" customHeight="1">
      <c r="A97" s="160"/>
      <c r="B97" s="164"/>
      <c r="C97" s="34"/>
      <c r="D97" s="153"/>
      <c r="E97" s="143"/>
      <c r="F97" s="143"/>
      <c r="G97" s="143"/>
      <c r="H97" s="143"/>
      <c r="I97" s="143"/>
      <c r="J97" s="172"/>
      <c r="K97" s="104" t="s">
        <v>806</v>
      </c>
      <c r="L97" s="104" t="s">
        <v>298</v>
      </c>
      <c r="M97" s="105" t="s">
        <v>807</v>
      </c>
      <c r="N97" s="141"/>
      <c r="O97" s="141"/>
      <c r="P97" s="141"/>
      <c r="Q97" s="141"/>
      <c r="R97" s="145"/>
      <c r="S97" s="145"/>
    </row>
    <row r="98" spans="1:19" s="3" customFormat="1" ht="60.75" customHeight="1">
      <c r="A98" s="159"/>
      <c r="B98" s="165"/>
      <c r="C98" s="34"/>
      <c r="D98" s="154"/>
      <c r="E98" s="144"/>
      <c r="F98" s="144"/>
      <c r="G98" s="144"/>
      <c r="H98" s="144"/>
      <c r="I98" s="144"/>
      <c r="J98" s="173"/>
      <c r="K98" s="51" t="s">
        <v>808</v>
      </c>
      <c r="L98" s="51" t="s">
        <v>298</v>
      </c>
      <c r="M98" s="106" t="s">
        <v>809</v>
      </c>
      <c r="N98" s="138"/>
      <c r="O98" s="138"/>
      <c r="P98" s="138"/>
      <c r="Q98" s="138"/>
      <c r="R98" s="140"/>
      <c r="S98" s="140"/>
    </row>
    <row r="99" spans="1:19" s="3" customFormat="1" ht="111.75" customHeight="1">
      <c r="A99" s="54"/>
      <c r="B99" s="47" t="s">
        <v>625</v>
      </c>
      <c r="C99" s="12"/>
      <c r="D99" s="61" t="s">
        <v>22</v>
      </c>
      <c r="E99" s="36" t="s">
        <v>47</v>
      </c>
      <c r="F99" s="36" t="s">
        <v>326</v>
      </c>
      <c r="G99" s="36" t="s">
        <v>48</v>
      </c>
      <c r="H99" s="7" t="s">
        <v>626</v>
      </c>
      <c r="I99" s="7" t="s">
        <v>627</v>
      </c>
      <c r="J99" s="7" t="s">
        <v>628</v>
      </c>
      <c r="K99" s="48" t="s">
        <v>1004</v>
      </c>
      <c r="L99" s="48" t="s">
        <v>298</v>
      </c>
      <c r="M99" s="48" t="s">
        <v>1005</v>
      </c>
      <c r="N99" s="69">
        <f>99000/1000</f>
        <v>99</v>
      </c>
      <c r="O99" s="69">
        <f>99000/1000</f>
        <v>99</v>
      </c>
      <c r="P99" s="69">
        <v>0</v>
      </c>
      <c r="Q99" s="69">
        <v>0</v>
      </c>
      <c r="R99" s="70">
        <v>0</v>
      </c>
      <c r="S99" s="70">
        <v>0</v>
      </c>
    </row>
    <row r="100" spans="1:19" s="3" customFormat="1" ht="84" customHeight="1">
      <c r="A100" s="54"/>
      <c r="B100" s="47" t="s">
        <v>629</v>
      </c>
      <c r="C100" s="12"/>
      <c r="D100" s="61" t="s">
        <v>22</v>
      </c>
      <c r="E100" s="36" t="s">
        <v>47</v>
      </c>
      <c r="F100" s="36" t="s">
        <v>326</v>
      </c>
      <c r="G100" s="36" t="s">
        <v>48</v>
      </c>
      <c r="H100" s="36" t="s">
        <v>504</v>
      </c>
      <c r="I100" s="36" t="s">
        <v>630</v>
      </c>
      <c r="J100" s="36" t="s">
        <v>506</v>
      </c>
      <c r="K100" s="43" t="s">
        <v>810</v>
      </c>
      <c r="L100" s="43" t="s">
        <v>17</v>
      </c>
      <c r="M100" s="91" t="s">
        <v>811</v>
      </c>
      <c r="N100" s="69">
        <f>497000/1000</f>
        <v>497</v>
      </c>
      <c r="O100" s="69">
        <f>497000/1000</f>
        <v>497</v>
      </c>
      <c r="P100" s="69">
        <v>0</v>
      </c>
      <c r="Q100" s="69">
        <v>0</v>
      </c>
      <c r="R100" s="70">
        <v>0</v>
      </c>
      <c r="S100" s="70">
        <v>0</v>
      </c>
    </row>
    <row r="101" spans="1:19" s="3" customFormat="1" ht="111.75" customHeight="1">
      <c r="A101" s="54"/>
      <c r="B101" s="90" t="s">
        <v>680</v>
      </c>
      <c r="C101" s="12"/>
      <c r="D101" s="61" t="s">
        <v>271</v>
      </c>
      <c r="E101" s="36" t="s">
        <v>47</v>
      </c>
      <c r="F101" s="36" t="s">
        <v>326</v>
      </c>
      <c r="G101" s="36" t="s">
        <v>48</v>
      </c>
      <c r="H101" s="7" t="s">
        <v>728</v>
      </c>
      <c r="I101" s="7" t="s">
        <v>730</v>
      </c>
      <c r="J101" s="7" t="s">
        <v>729</v>
      </c>
      <c r="K101" s="48" t="s">
        <v>1004</v>
      </c>
      <c r="L101" s="48" t="s">
        <v>298</v>
      </c>
      <c r="M101" s="48" t="s">
        <v>1005</v>
      </c>
      <c r="N101" s="69">
        <f>45900/1000</f>
        <v>45.9</v>
      </c>
      <c r="O101" s="69">
        <f>45900/1000</f>
        <v>45.9</v>
      </c>
      <c r="P101" s="69">
        <v>0</v>
      </c>
      <c r="Q101" s="69">
        <v>0</v>
      </c>
      <c r="R101" s="70">
        <v>0</v>
      </c>
      <c r="S101" s="70">
        <v>0</v>
      </c>
    </row>
    <row r="102" spans="1:19" s="3" customFormat="1" ht="42" customHeight="1">
      <c r="A102" s="166"/>
      <c r="B102" s="168" t="s">
        <v>681</v>
      </c>
      <c r="C102" s="12"/>
      <c r="D102" s="62" t="s">
        <v>271</v>
      </c>
      <c r="E102" s="142" t="s">
        <v>47</v>
      </c>
      <c r="F102" s="142" t="s">
        <v>326</v>
      </c>
      <c r="G102" s="142" t="s">
        <v>48</v>
      </c>
      <c r="H102" s="142" t="s">
        <v>709</v>
      </c>
      <c r="I102" s="36" t="s">
        <v>726</v>
      </c>
      <c r="J102" s="171" t="s">
        <v>711</v>
      </c>
      <c r="K102" s="177" t="s">
        <v>682</v>
      </c>
      <c r="L102" s="179" t="s">
        <v>17</v>
      </c>
      <c r="M102" s="190" t="s">
        <v>683</v>
      </c>
      <c r="N102" s="71">
        <f>131870/1000</f>
        <v>131.87</v>
      </c>
      <c r="O102" s="71">
        <f>131870/1000</f>
        <v>131.87</v>
      </c>
      <c r="P102" s="71">
        <v>0</v>
      </c>
      <c r="Q102" s="71">
        <v>0</v>
      </c>
      <c r="R102" s="74">
        <v>0</v>
      </c>
      <c r="S102" s="74">
        <v>0</v>
      </c>
    </row>
    <row r="103" spans="1:19" s="3" customFormat="1" ht="42" customHeight="1">
      <c r="A103" s="167"/>
      <c r="B103" s="169"/>
      <c r="C103" s="12"/>
      <c r="D103" s="65" t="s">
        <v>22</v>
      </c>
      <c r="E103" s="144"/>
      <c r="F103" s="144"/>
      <c r="G103" s="144"/>
      <c r="H103" s="144"/>
      <c r="I103" s="38" t="s">
        <v>727</v>
      </c>
      <c r="J103" s="173"/>
      <c r="K103" s="178"/>
      <c r="L103" s="179"/>
      <c r="M103" s="191"/>
      <c r="N103" s="77">
        <f>167972/1000</f>
        <v>167.972</v>
      </c>
      <c r="O103" s="77">
        <f>167972/1000</f>
        <v>167.972</v>
      </c>
      <c r="P103" s="77">
        <v>0</v>
      </c>
      <c r="Q103" s="77">
        <v>0</v>
      </c>
      <c r="R103" s="79">
        <v>0</v>
      </c>
      <c r="S103" s="79">
        <v>0</v>
      </c>
    </row>
    <row r="104" spans="1:19" s="3" customFormat="1" ht="110.25" customHeight="1">
      <c r="A104" s="54"/>
      <c r="B104" s="47" t="s">
        <v>684</v>
      </c>
      <c r="C104" s="12"/>
      <c r="D104" s="61" t="s">
        <v>271</v>
      </c>
      <c r="E104" s="36" t="s">
        <v>47</v>
      </c>
      <c r="F104" s="36" t="s">
        <v>326</v>
      </c>
      <c r="G104" s="36" t="s">
        <v>48</v>
      </c>
      <c r="H104" s="7" t="s">
        <v>721</v>
      </c>
      <c r="I104" s="7" t="s">
        <v>725</v>
      </c>
      <c r="J104" s="7" t="s">
        <v>723</v>
      </c>
      <c r="K104" s="48" t="s">
        <v>1004</v>
      </c>
      <c r="L104" s="48" t="s">
        <v>298</v>
      </c>
      <c r="M104" s="48" t="s">
        <v>1005</v>
      </c>
      <c r="N104" s="69">
        <f>48500/1000</f>
        <v>48.5</v>
      </c>
      <c r="O104" s="69">
        <f>48500/1000</f>
        <v>48.5</v>
      </c>
      <c r="P104" s="69">
        <v>0</v>
      </c>
      <c r="Q104" s="69">
        <v>0</v>
      </c>
      <c r="R104" s="70">
        <v>0</v>
      </c>
      <c r="S104" s="70">
        <v>0</v>
      </c>
    </row>
    <row r="105" spans="1:19" s="3" customFormat="1" ht="108.75" customHeight="1">
      <c r="A105" s="54"/>
      <c r="B105" s="46" t="s">
        <v>685</v>
      </c>
      <c r="C105" s="12"/>
      <c r="D105" s="61" t="s">
        <v>22</v>
      </c>
      <c r="E105" s="36" t="s">
        <v>47</v>
      </c>
      <c r="F105" s="36" t="s">
        <v>326</v>
      </c>
      <c r="G105" s="36" t="s">
        <v>48</v>
      </c>
      <c r="H105" s="7" t="s">
        <v>721</v>
      </c>
      <c r="I105" s="7" t="s">
        <v>724</v>
      </c>
      <c r="J105" s="7" t="s">
        <v>723</v>
      </c>
      <c r="K105" s="48" t="s">
        <v>1004</v>
      </c>
      <c r="L105" s="48" t="s">
        <v>298</v>
      </c>
      <c r="M105" s="48" t="s">
        <v>1005</v>
      </c>
      <c r="N105" s="69">
        <f>100000/1000</f>
        <v>100</v>
      </c>
      <c r="O105" s="69">
        <f>100000/1000</f>
        <v>100</v>
      </c>
      <c r="P105" s="69">
        <v>0</v>
      </c>
      <c r="Q105" s="69">
        <v>0</v>
      </c>
      <c r="R105" s="70">
        <v>0</v>
      </c>
      <c r="S105" s="70">
        <v>0</v>
      </c>
    </row>
    <row r="106" spans="1:19" s="3" customFormat="1" ht="112.5" customHeight="1">
      <c r="A106" s="54"/>
      <c r="B106" s="46" t="s">
        <v>686</v>
      </c>
      <c r="C106" s="12"/>
      <c r="D106" s="61" t="s">
        <v>22</v>
      </c>
      <c r="E106" s="36" t="s">
        <v>47</v>
      </c>
      <c r="F106" s="36" t="s">
        <v>326</v>
      </c>
      <c r="G106" s="36" t="s">
        <v>48</v>
      </c>
      <c r="H106" s="7" t="s">
        <v>721</v>
      </c>
      <c r="I106" s="7" t="s">
        <v>722</v>
      </c>
      <c r="J106" s="7" t="s">
        <v>723</v>
      </c>
      <c r="K106" s="48" t="s">
        <v>1004</v>
      </c>
      <c r="L106" s="48" t="s">
        <v>298</v>
      </c>
      <c r="M106" s="48" t="s">
        <v>1005</v>
      </c>
      <c r="N106" s="69">
        <f>60000/1000</f>
        <v>60</v>
      </c>
      <c r="O106" s="69">
        <f>60000/1000</f>
        <v>60</v>
      </c>
      <c r="P106" s="69">
        <v>0</v>
      </c>
      <c r="Q106" s="69">
        <v>0</v>
      </c>
      <c r="R106" s="70">
        <v>0</v>
      </c>
      <c r="S106" s="70">
        <v>0</v>
      </c>
    </row>
    <row r="107" spans="1:19" s="3" customFormat="1" ht="108.75" customHeight="1">
      <c r="A107" s="54"/>
      <c r="B107" s="46" t="s">
        <v>687</v>
      </c>
      <c r="C107" s="12"/>
      <c r="D107" s="61" t="s">
        <v>22</v>
      </c>
      <c r="E107" s="36" t="s">
        <v>47</v>
      </c>
      <c r="F107" s="36" t="s">
        <v>326</v>
      </c>
      <c r="G107" s="36" t="s">
        <v>48</v>
      </c>
      <c r="H107" s="7" t="s">
        <v>718</v>
      </c>
      <c r="I107" s="7" t="s">
        <v>719</v>
      </c>
      <c r="J107" s="7" t="s">
        <v>720</v>
      </c>
      <c r="K107" s="48" t="s">
        <v>1004</v>
      </c>
      <c r="L107" s="48" t="s">
        <v>298</v>
      </c>
      <c r="M107" s="48" t="s">
        <v>1005</v>
      </c>
      <c r="N107" s="69">
        <f>49500/1000</f>
        <v>49.5</v>
      </c>
      <c r="O107" s="69">
        <f>49500/1000</f>
        <v>49.5</v>
      </c>
      <c r="P107" s="69">
        <v>0</v>
      </c>
      <c r="Q107" s="69">
        <v>0</v>
      </c>
      <c r="R107" s="70">
        <v>0</v>
      </c>
      <c r="S107" s="70">
        <v>0</v>
      </c>
    </row>
    <row r="108" spans="1:19" s="3" customFormat="1" ht="84" customHeight="1">
      <c r="A108" s="54"/>
      <c r="B108" s="46" t="s">
        <v>773</v>
      </c>
      <c r="C108" s="12"/>
      <c r="D108" s="61" t="s">
        <v>271</v>
      </c>
      <c r="E108" s="36" t="s">
        <v>47</v>
      </c>
      <c r="F108" s="36" t="s">
        <v>326</v>
      </c>
      <c r="G108" s="36" t="s">
        <v>48</v>
      </c>
      <c r="H108" s="7" t="s">
        <v>774</v>
      </c>
      <c r="I108" s="7" t="s">
        <v>775</v>
      </c>
      <c r="J108" s="7" t="s">
        <v>776</v>
      </c>
      <c r="K108" s="45" t="s">
        <v>777</v>
      </c>
      <c r="L108" s="45" t="s">
        <v>17</v>
      </c>
      <c r="M108" s="45" t="s">
        <v>778</v>
      </c>
      <c r="N108" s="69">
        <f>70000/1000</f>
        <v>70</v>
      </c>
      <c r="O108" s="69">
        <f>70000/1000</f>
        <v>70</v>
      </c>
      <c r="P108" s="69">
        <v>0</v>
      </c>
      <c r="Q108" s="69">
        <v>0</v>
      </c>
      <c r="R108" s="70">
        <v>0</v>
      </c>
      <c r="S108" s="70">
        <v>0</v>
      </c>
    </row>
    <row r="109" spans="1:19" s="3" customFormat="1" ht="97.5" customHeight="1">
      <c r="A109" s="54"/>
      <c r="B109" s="46" t="s">
        <v>779</v>
      </c>
      <c r="C109" s="12"/>
      <c r="D109" s="61" t="s">
        <v>22</v>
      </c>
      <c r="E109" s="36" t="s">
        <v>47</v>
      </c>
      <c r="F109" s="36" t="s">
        <v>326</v>
      </c>
      <c r="G109" s="36" t="s">
        <v>48</v>
      </c>
      <c r="H109" s="7" t="s">
        <v>780</v>
      </c>
      <c r="I109" s="7" t="s">
        <v>781</v>
      </c>
      <c r="J109" s="7" t="s">
        <v>791</v>
      </c>
      <c r="K109" s="45" t="s">
        <v>782</v>
      </c>
      <c r="L109" s="45" t="s">
        <v>17</v>
      </c>
      <c r="M109" s="45" t="s">
        <v>783</v>
      </c>
      <c r="N109" s="69">
        <f>379855/1000</f>
        <v>379.855</v>
      </c>
      <c r="O109" s="69">
        <f>379855/1000</f>
        <v>379.855</v>
      </c>
      <c r="P109" s="69">
        <v>0</v>
      </c>
      <c r="Q109" s="69">
        <v>0</v>
      </c>
      <c r="R109" s="70">
        <v>0</v>
      </c>
      <c r="S109" s="70">
        <v>0</v>
      </c>
    </row>
    <row r="110" spans="1:19" s="3" customFormat="1" ht="87" customHeight="1">
      <c r="A110" s="54"/>
      <c r="B110" s="46" t="s">
        <v>784</v>
      </c>
      <c r="C110" s="12"/>
      <c r="D110" s="61" t="s">
        <v>22</v>
      </c>
      <c r="E110" s="36" t="s">
        <v>47</v>
      </c>
      <c r="F110" s="36" t="s">
        <v>326</v>
      </c>
      <c r="G110" s="36" t="s">
        <v>48</v>
      </c>
      <c r="H110" s="7" t="s">
        <v>785</v>
      </c>
      <c r="I110" s="7" t="s">
        <v>786</v>
      </c>
      <c r="J110" s="7" t="s">
        <v>792</v>
      </c>
      <c r="K110" s="45" t="s">
        <v>787</v>
      </c>
      <c r="L110" s="45" t="s">
        <v>17</v>
      </c>
      <c r="M110" s="45" t="s">
        <v>778</v>
      </c>
      <c r="N110" s="69">
        <f>97129/1000</f>
        <v>97.129</v>
      </c>
      <c r="O110" s="69">
        <f>97129/1000</f>
        <v>97.129</v>
      </c>
      <c r="P110" s="69">
        <v>0</v>
      </c>
      <c r="Q110" s="69">
        <v>0</v>
      </c>
      <c r="R110" s="70">
        <v>0</v>
      </c>
      <c r="S110" s="70">
        <v>0</v>
      </c>
    </row>
    <row r="111" spans="1:19" s="3" customFormat="1" ht="86.25" customHeight="1">
      <c r="A111" s="54"/>
      <c r="B111" s="46" t="s">
        <v>788</v>
      </c>
      <c r="C111" s="12"/>
      <c r="D111" s="61" t="s">
        <v>22</v>
      </c>
      <c r="E111" s="36" t="s">
        <v>47</v>
      </c>
      <c r="F111" s="36" t="s">
        <v>326</v>
      </c>
      <c r="G111" s="36" t="s">
        <v>48</v>
      </c>
      <c r="H111" s="7" t="s">
        <v>789</v>
      </c>
      <c r="I111" s="7" t="s">
        <v>790</v>
      </c>
      <c r="J111" s="7" t="s">
        <v>793</v>
      </c>
      <c r="K111" s="45" t="s">
        <v>794</v>
      </c>
      <c r="L111" s="45" t="s">
        <v>17</v>
      </c>
      <c r="M111" s="45" t="s">
        <v>795</v>
      </c>
      <c r="N111" s="69">
        <f>148190/1000</f>
        <v>148.19</v>
      </c>
      <c r="O111" s="69">
        <f>148190/1000</f>
        <v>148.19</v>
      </c>
      <c r="P111" s="69">
        <v>0</v>
      </c>
      <c r="Q111" s="69">
        <v>0</v>
      </c>
      <c r="R111" s="70">
        <v>0</v>
      </c>
      <c r="S111" s="70">
        <v>0</v>
      </c>
    </row>
    <row r="112" spans="1:19" s="3" customFormat="1" ht="87.75" customHeight="1">
      <c r="A112" s="54"/>
      <c r="B112" s="46" t="s">
        <v>796</v>
      </c>
      <c r="C112" s="12"/>
      <c r="D112" s="61" t="s">
        <v>22</v>
      </c>
      <c r="E112" s="36" t="s">
        <v>47</v>
      </c>
      <c r="F112" s="36" t="s">
        <v>326</v>
      </c>
      <c r="G112" s="36" t="s">
        <v>48</v>
      </c>
      <c r="H112" s="7" t="s">
        <v>799</v>
      </c>
      <c r="I112" s="7" t="s">
        <v>298</v>
      </c>
      <c r="J112" s="7" t="s">
        <v>506</v>
      </c>
      <c r="K112" s="45" t="s">
        <v>797</v>
      </c>
      <c r="L112" s="45" t="s">
        <v>298</v>
      </c>
      <c r="M112" s="45" t="s">
        <v>798</v>
      </c>
      <c r="N112" s="69">
        <f>2768000/1000</f>
        <v>2768</v>
      </c>
      <c r="O112" s="69">
        <v>0</v>
      </c>
      <c r="P112" s="69">
        <v>0</v>
      </c>
      <c r="Q112" s="69">
        <v>0</v>
      </c>
      <c r="R112" s="70">
        <v>0</v>
      </c>
      <c r="S112" s="70">
        <v>0</v>
      </c>
    </row>
    <row r="113" spans="1:19" s="3" customFormat="1" ht="108.75" customHeight="1">
      <c r="A113" s="54"/>
      <c r="B113" s="47" t="s">
        <v>631</v>
      </c>
      <c r="C113" s="12"/>
      <c r="D113" s="61" t="s">
        <v>22</v>
      </c>
      <c r="E113" s="36" t="s">
        <v>47</v>
      </c>
      <c r="F113" s="36" t="s">
        <v>326</v>
      </c>
      <c r="G113" s="36" t="s">
        <v>48</v>
      </c>
      <c r="H113" s="7" t="s">
        <v>632</v>
      </c>
      <c r="I113" s="7" t="s">
        <v>17</v>
      </c>
      <c r="J113" s="7" t="s">
        <v>491</v>
      </c>
      <c r="K113" s="45" t="s">
        <v>633</v>
      </c>
      <c r="L113" s="45" t="s">
        <v>245</v>
      </c>
      <c r="M113" s="87" t="s">
        <v>491</v>
      </c>
      <c r="N113" s="69">
        <f>3043656/1000</f>
        <v>3043.656</v>
      </c>
      <c r="O113" s="69">
        <f>2213400/1000</f>
        <v>2213.4</v>
      </c>
      <c r="P113" s="69">
        <v>0</v>
      </c>
      <c r="Q113" s="69">
        <v>0</v>
      </c>
      <c r="R113" s="70">
        <v>0</v>
      </c>
      <c r="S113" s="70">
        <v>0</v>
      </c>
    </row>
    <row r="114" spans="1:19" s="3" customFormat="1" ht="84" customHeight="1">
      <c r="A114" s="55"/>
      <c r="B114" s="101" t="s">
        <v>812</v>
      </c>
      <c r="C114" s="34"/>
      <c r="D114" s="62" t="s">
        <v>271</v>
      </c>
      <c r="E114" s="36" t="s">
        <v>47</v>
      </c>
      <c r="F114" s="36" t="s">
        <v>326</v>
      </c>
      <c r="G114" s="36" t="s">
        <v>48</v>
      </c>
      <c r="H114" s="36" t="s">
        <v>504</v>
      </c>
      <c r="I114" s="36" t="s">
        <v>813</v>
      </c>
      <c r="J114" s="36" t="s">
        <v>506</v>
      </c>
      <c r="K114" s="48" t="s">
        <v>814</v>
      </c>
      <c r="L114" s="48" t="s">
        <v>298</v>
      </c>
      <c r="M114" s="48" t="s">
        <v>815</v>
      </c>
      <c r="N114" s="71">
        <f>1193400/1000</f>
        <v>1193.4</v>
      </c>
      <c r="O114" s="71">
        <f>1193400/1000</f>
        <v>1193.4</v>
      </c>
      <c r="P114" s="69">
        <v>0</v>
      </c>
      <c r="Q114" s="69">
        <v>0</v>
      </c>
      <c r="R114" s="70">
        <v>0</v>
      </c>
      <c r="S114" s="70">
        <v>0</v>
      </c>
    </row>
    <row r="115" spans="1:19" s="3" customFormat="1" ht="75.75" customHeight="1">
      <c r="A115" s="54"/>
      <c r="B115" s="47" t="s">
        <v>1054</v>
      </c>
      <c r="C115" s="12"/>
      <c r="D115" s="61" t="s">
        <v>22</v>
      </c>
      <c r="E115" s="36" t="s">
        <v>47</v>
      </c>
      <c r="F115" s="36" t="s">
        <v>326</v>
      </c>
      <c r="G115" s="36" t="s">
        <v>48</v>
      </c>
      <c r="H115" s="7" t="s">
        <v>824</v>
      </c>
      <c r="I115" s="7" t="s">
        <v>298</v>
      </c>
      <c r="J115" s="7" t="s">
        <v>825</v>
      </c>
      <c r="K115" s="45" t="s">
        <v>822</v>
      </c>
      <c r="L115" s="45" t="s">
        <v>298</v>
      </c>
      <c r="M115" s="45" t="s">
        <v>823</v>
      </c>
      <c r="N115" s="69">
        <f>8859340/1000</f>
        <v>8859.34</v>
      </c>
      <c r="O115" s="69">
        <f>8859340/1000</f>
        <v>8859.34</v>
      </c>
      <c r="P115" s="69">
        <v>18337</v>
      </c>
      <c r="Q115" s="69">
        <v>0</v>
      </c>
      <c r="R115" s="70">
        <v>0</v>
      </c>
      <c r="S115" s="70">
        <v>0</v>
      </c>
    </row>
    <row r="116" spans="1:19" s="3" customFormat="1" ht="88.5" customHeight="1">
      <c r="A116" s="54"/>
      <c r="B116" s="47" t="s">
        <v>816</v>
      </c>
      <c r="C116" s="12"/>
      <c r="D116" s="61" t="s">
        <v>22</v>
      </c>
      <c r="E116" s="36" t="s">
        <v>47</v>
      </c>
      <c r="F116" s="36" t="s">
        <v>326</v>
      </c>
      <c r="G116" s="36" t="s">
        <v>48</v>
      </c>
      <c r="H116" s="7" t="s">
        <v>819</v>
      </c>
      <c r="I116" s="7" t="s">
        <v>820</v>
      </c>
      <c r="J116" s="7" t="s">
        <v>821</v>
      </c>
      <c r="K116" s="45" t="s">
        <v>817</v>
      </c>
      <c r="L116" s="45" t="s">
        <v>17</v>
      </c>
      <c r="M116" s="45" t="s">
        <v>818</v>
      </c>
      <c r="N116" s="69">
        <f>72000/1000</f>
        <v>72</v>
      </c>
      <c r="O116" s="69">
        <f>72000/1000</f>
        <v>72</v>
      </c>
      <c r="P116" s="69">
        <v>0</v>
      </c>
      <c r="Q116" s="69">
        <v>0</v>
      </c>
      <c r="R116" s="70">
        <v>0</v>
      </c>
      <c r="S116" s="70">
        <v>0</v>
      </c>
    </row>
    <row r="117" spans="1:19" s="3" customFormat="1" ht="43.5" customHeight="1">
      <c r="A117" s="158"/>
      <c r="B117" s="163" t="s">
        <v>1021</v>
      </c>
      <c r="C117" s="12"/>
      <c r="D117" s="123" t="s">
        <v>22</v>
      </c>
      <c r="E117" s="142" t="s">
        <v>323</v>
      </c>
      <c r="F117" s="142" t="s">
        <v>324</v>
      </c>
      <c r="G117" s="142" t="s">
        <v>325</v>
      </c>
      <c r="H117" s="142" t="s">
        <v>219</v>
      </c>
      <c r="I117" s="142" t="s">
        <v>225</v>
      </c>
      <c r="J117" s="142" t="s">
        <v>203</v>
      </c>
      <c r="K117" s="187" t="s">
        <v>1022</v>
      </c>
      <c r="L117" s="187" t="s">
        <v>298</v>
      </c>
      <c r="M117" s="201" t="s">
        <v>1023</v>
      </c>
      <c r="N117" s="71"/>
      <c r="O117" s="71"/>
      <c r="P117" s="71">
        <v>370</v>
      </c>
      <c r="Q117" s="71">
        <v>392.9</v>
      </c>
      <c r="R117" s="74">
        <v>413.4</v>
      </c>
      <c r="S117" s="74">
        <v>433.6</v>
      </c>
    </row>
    <row r="118" spans="1:19" s="3" customFormat="1" ht="43.5" customHeight="1">
      <c r="A118" s="160"/>
      <c r="B118" s="164"/>
      <c r="C118" s="12"/>
      <c r="D118" s="122" t="s">
        <v>271</v>
      </c>
      <c r="E118" s="143"/>
      <c r="F118" s="143"/>
      <c r="G118" s="143"/>
      <c r="H118" s="143"/>
      <c r="I118" s="143"/>
      <c r="J118" s="143"/>
      <c r="K118" s="188"/>
      <c r="L118" s="188"/>
      <c r="M118" s="202"/>
      <c r="N118" s="72"/>
      <c r="O118" s="72"/>
      <c r="P118" s="72">
        <v>135</v>
      </c>
      <c r="Q118" s="72">
        <v>143.4</v>
      </c>
      <c r="R118" s="86">
        <v>150.8</v>
      </c>
      <c r="S118" s="86">
        <v>158.2</v>
      </c>
    </row>
    <row r="119" spans="1:19" s="3" customFormat="1" ht="43.5" customHeight="1">
      <c r="A119" s="159"/>
      <c r="B119" s="165"/>
      <c r="C119" s="12"/>
      <c r="D119" s="124" t="s">
        <v>22</v>
      </c>
      <c r="E119" s="144"/>
      <c r="F119" s="144"/>
      <c r="G119" s="144"/>
      <c r="H119" s="144"/>
      <c r="I119" s="144"/>
      <c r="J119" s="144"/>
      <c r="K119" s="197"/>
      <c r="L119" s="197"/>
      <c r="M119" s="203"/>
      <c r="N119" s="77"/>
      <c r="O119" s="77"/>
      <c r="P119" s="77">
        <v>75</v>
      </c>
      <c r="Q119" s="77">
        <v>79.6</v>
      </c>
      <c r="R119" s="79">
        <v>83.8</v>
      </c>
      <c r="S119" s="79">
        <v>87.9</v>
      </c>
    </row>
    <row r="120" spans="1:19" s="3" customFormat="1" ht="102" customHeight="1">
      <c r="A120" s="57"/>
      <c r="B120" s="47" t="s">
        <v>1027</v>
      </c>
      <c r="C120" s="12"/>
      <c r="D120" s="124" t="s">
        <v>22</v>
      </c>
      <c r="E120" s="36" t="s">
        <v>47</v>
      </c>
      <c r="F120" s="36" t="s">
        <v>326</v>
      </c>
      <c r="G120" s="36" t="s">
        <v>48</v>
      </c>
      <c r="H120" s="7" t="s">
        <v>1041</v>
      </c>
      <c r="I120" s="7" t="s">
        <v>1042</v>
      </c>
      <c r="J120" s="7" t="s">
        <v>919</v>
      </c>
      <c r="K120" s="45" t="s">
        <v>1028</v>
      </c>
      <c r="L120" s="45" t="s">
        <v>1029</v>
      </c>
      <c r="M120" s="45" t="s">
        <v>919</v>
      </c>
      <c r="N120" s="69"/>
      <c r="O120" s="69"/>
      <c r="P120" s="77">
        <v>625</v>
      </c>
      <c r="Q120" s="77">
        <v>0</v>
      </c>
      <c r="R120" s="79">
        <v>0</v>
      </c>
      <c r="S120" s="79">
        <v>0</v>
      </c>
    </row>
    <row r="121" spans="1:19" s="3" customFormat="1" ht="109.5" customHeight="1">
      <c r="A121" s="54"/>
      <c r="B121" s="47" t="s">
        <v>924</v>
      </c>
      <c r="C121" s="12"/>
      <c r="D121" s="61" t="s">
        <v>22</v>
      </c>
      <c r="E121" s="7" t="s">
        <v>323</v>
      </c>
      <c r="F121" s="7" t="s">
        <v>324</v>
      </c>
      <c r="G121" s="7" t="s">
        <v>325</v>
      </c>
      <c r="H121" s="7" t="s">
        <v>925</v>
      </c>
      <c r="I121" s="7" t="s">
        <v>298</v>
      </c>
      <c r="J121" s="7" t="s">
        <v>926</v>
      </c>
      <c r="K121" s="43" t="s">
        <v>927</v>
      </c>
      <c r="L121" s="43" t="s">
        <v>928</v>
      </c>
      <c r="M121" s="43" t="s">
        <v>929</v>
      </c>
      <c r="N121" s="69">
        <v>0</v>
      </c>
      <c r="O121" s="69">
        <v>0</v>
      </c>
      <c r="P121" s="69">
        <v>23934</v>
      </c>
      <c r="Q121" s="69">
        <v>0</v>
      </c>
      <c r="R121" s="70">
        <v>0</v>
      </c>
      <c r="S121" s="70">
        <v>0</v>
      </c>
    </row>
    <row r="122" spans="1:19" s="2" customFormat="1" ht="95.25" customHeight="1">
      <c r="A122" s="53" t="s">
        <v>51</v>
      </c>
      <c r="B122" s="30" t="s">
        <v>278</v>
      </c>
      <c r="C122" s="16"/>
      <c r="D122" s="61"/>
      <c r="E122" s="7"/>
      <c r="F122" s="7"/>
      <c r="G122" s="7"/>
      <c r="H122" s="7"/>
      <c r="I122" s="7"/>
      <c r="J122" s="7"/>
      <c r="K122" s="31"/>
      <c r="L122" s="7"/>
      <c r="M122" s="7"/>
      <c r="N122" s="68">
        <f aca="true" t="shared" si="5" ref="N122:S122">SUM(N123:N145)</f>
        <v>94161.15319999999</v>
      </c>
      <c r="O122" s="68">
        <f t="shared" si="5"/>
        <v>93383.54415</v>
      </c>
      <c r="P122" s="68">
        <f t="shared" si="5"/>
        <v>6432.64472</v>
      </c>
      <c r="Q122" s="68">
        <f t="shared" si="5"/>
        <v>6886.6</v>
      </c>
      <c r="R122" s="68">
        <f t="shared" si="5"/>
        <v>6296.800000000001</v>
      </c>
      <c r="S122" s="68">
        <f t="shared" si="5"/>
        <v>6605.3</v>
      </c>
    </row>
    <row r="123" spans="1:19" s="3" customFormat="1" ht="74.25" customHeight="1">
      <c r="A123" s="54"/>
      <c r="B123" s="50" t="s">
        <v>470</v>
      </c>
      <c r="C123" s="12"/>
      <c r="D123" s="61" t="s">
        <v>138</v>
      </c>
      <c r="E123" s="7" t="s">
        <v>47</v>
      </c>
      <c r="F123" s="7" t="s">
        <v>15</v>
      </c>
      <c r="G123" s="7" t="s">
        <v>48</v>
      </c>
      <c r="H123" s="7"/>
      <c r="I123" s="7"/>
      <c r="J123" s="7"/>
      <c r="K123" s="7" t="s">
        <v>1030</v>
      </c>
      <c r="L123" s="7" t="s">
        <v>238</v>
      </c>
      <c r="M123" s="10" t="s">
        <v>408</v>
      </c>
      <c r="N123" s="69">
        <f>691999.34/1000</f>
        <v>691.99934</v>
      </c>
      <c r="O123" s="69">
        <f>690966.67/1000</f>
        <v>690.96667</v>
      </c>
      <c r="P123" s="69">
        <v>761</v>
      </c>
      <c r="Q123" s="69">
        <v>805.1</v>
      </c>
      <c r="R123" s="70">
        <v>0</v>
      </c>
      <c r="S123" s="70">
        <v>0</v>
      </c>
    </row>
    <row r="124" spans="1:19" s="3" customFormat="1" ht="21" customHeight="1">
      <c r="A124" s="176"/>
      <c r="B124" s="180" t="s">
        <v>40</v>
      </c>
      <c r="C124" s="12"/>
      <c r="D124" s="62" t="s">
        <v>138</v>
      </c>
      <c r="E124" s="142" t="s">
        <v>47</v>
      </c>
      <c r="F124" s="142" t="s">
        <v>15</v>
      </c>
      <c r="G124" s="142" t="s">
        <v>48</v>
      </c>
      <c r="H124" s="36"/>
      <c r="I124" s="36"/>
      <c r="J124" s="36"/>
      <c r="K124" s="142" t="s">
        <v>886</v>
      </c>
      <c r="L124" s="142" t="s">
        <v>50</v>
      </c>
      <c r="M124" s="146" t="s">
        <v>36</v>
      </c>
      <c r="N124" s="71">
        <f>31872913.57/1000</f>
        <v>31872.91357</v>
      </c>
      <c r="O124" s="71">
        <f>31866498.33/1000</f>
        <v>31866.49833</v>
      </c>
      <c r="P124" s="137">
        <v>0</v>
      </c>
      <c r="Q124" s="137">
        <v>0</v>
      </c>
      <c r="R124" s="139">
        <v>0</v>
      </c>
      <c r="S124" s="139">
        <v>0</v>
      </c>
    </row>
    <row r="125" spans="1:19" s="3" customFormat="1" ht="21" customHeight="1">
      <c r="A125" s="176"/>
      <c r="B125" s="180"/>
      <c r="C125" s="12"/>
      <c r="D125" s="63" t="s">
        <v>307</v>
      </c>
      <c r="E125" s="143"/>
      <c r="F125" s="143"/>
      <c r="G125" s="143"/>
      <c r="H125" s="37"/>
      <c r="I125" s="37"/>
      <c r="J125" s="37"/>
      <c r="K125" s="143"/>
      <c r="L125" s="143"/>
      <c r="M125" s="147"/>
      <c r="N125" s="72">
        <f>991059.78/1000</f>
        <v>991.05978</v>
      </c>
      <c r="O125" s="72">
        <f>985600.87/1000</f>
        <v>985.60087</v>
      </c>
      <c r="P125" s="141"/>
      <c r="Q125" s="141"/>
      <c r="R125" s="145"/>
      <c r="S125" s="145"/>
    </row>
    <row r="126" spans="1:19" s="3" customFormat="1" ht="21" customHeight="1">
      <c r="A126" s="176"/>
      <c r="B126" s="180"/>
      <c r="C126" s="12"/>
      <c r="D126" s="63" t="s">
        <v>181</v>
      </c>
      <c r="E126" s="143"/>
      <c r="F126" s="143"/>
      <c r="G126" s="143"/>
      <c r="H126" s="37"/>
      <c r="I126" s="37"/>
      <c r="J126" s="37"/>
      <c r="K126" s="143"/>
      <c r="L126" s="143"/>
      <c r="M126" s="147"/>
      <c r="N126" s="72">
        <f>2204143.48/1000</f>
        <v>2204.14348</v>
      </c>
      <c r="O126" s="72">
        <f>2199884.98/1000</f>
        <v>2199.88498</v>
      </c>
      <c r="P126" s="141"/>
      <c r="Q126" s="141"/>
      <c r="R126" s="145"/>
      <c r="S126" s="145"/>
    </row>
    <row r="127" spans="1:19" s="3" customFormat="1" ht="21" customHeight="1">
      <c r="A127" s="176"/>
      <c r="B127" s="180"/>
      <c r="C127" s="12"/>
      <c r="D127" s="122" t="s">
        <v>901</v>
      </c>
      <c r="E127" s="143"/>
      <c r="F127" s="143"/>
      <c r="G127" s="143"/>
      <c r="H127" s="37"/>
      <c r="I127" s="37"/>
      <c r="J127" s="37"/>
      <c r="K127" s="143"/>
      <c r="L127" s="143"/>
      <c r="M127" s="147"/>
      <c r="N127" s="72">
        <f>26259516.18/1000</f>
        <v>26259.51618</v>
      </c>
      <c r="O127" s="72">
        <f>26255132.51/1000</f>
        <v>26255.132510000003</v>
      </c>
      <c r="P127" s="141"/>
      <c r="Q127" s="141"/>
      <c r="R127" s="145"/>
      <c r="S127" s="145"/>
    </row>
    <row r="128" spans="1:19" s="3" customFormat="1" ht="21" customHeight="1">
      <c r="A128" s="176"/>
      <c r="B128" s="180"/>
      <c r="C128" s="12"/>
      <c r="D128" s="153" t="s">
        <v>138</v>
      </c>
      <c r="E128" s="143"/>
      <c r="F128" s="143"/>
      <c r="G128" s="143"/>
      <c r="H128" s="37"/>
      <c r="I128" s="37"/>
      <c r="J128" s="37"/>
      <c r="K128" s="143"/>
      <c r="L128" s="143"/>
      <c r="M128" s="147"/>
      <c r="N128" s="72">
        <f>1435193.45/1000</f>
        <v>1435.19345</v>
      </c>
      <c r="O128" s="72">
        <f>1434335.55/1000</f>
        <v>1434.33555</v>
      </c>
      <c r="P128" s="141"/>
      <c r="Q128" s="141"/>
      <c r="R128" s="145"/>
      <c r="S128" s="145"/>
    </row>
    <row r="129" spans="1:19" s="3" customFormat="1" ht="17.25" customHeight="1">
      <c r="A129" s="176"/>
      <c r="B129" s="180"/>
      <c r="C129" s="12"/>
      <c r="D129" s="153"/>
      <c r="E129" s="143"/>
      <c r="F129" s="143"/>
      <c r="G129" s="143"/>
      <c r="H129" s="37"/>
      <c r="I129" s="37"/>
      <c r="J129" s="37"/>
      <c r="K129" s="143"/>
      <c r="L129" s="143"/>
      <c r="M129" s="147"/>
      <c r="N129" s="72">
        <f>156000/1000</f>
        <v>156</v>
      </c>
      <c r="O129" s="72">
        <f>156000/1000</f>
        <v>156</v>
      </c>
      <c r="P129" s="141"/>
      <c r="Q129" s="141"/>
      <c r="R129" s="145"/>
      <c r="S129" s="145"/>
    </row>
    <row r="130" spans="1:19" s="3" customFormat="1" ht="24" customHeight="1">
      <c r="A130" s="176"/>
      <c r="B130" s="180"/>
      <c r="C130" s="12"/>
      <c r="D130" s="153"/>
      <c r="E130" s="143"/>
      <c r="F130" s="143"/>
      <c r="G130" s="143"/>
      <c r="H130" s="37"/>
      <c r="I130" s="37"/>
      <c r="J130" s="37"/>
      <c r="K130" s="143" t="s">
        <v>887</v>
      </c>
      <c r="L130" s="143" t="s">
        <v>298</v>
      </c>
      <c r="M130" s="147" t="s">
        <v>154</v>
      </c>
      <c r="N130" s="72">
        <f>984000/1000</f>
        <v>984</v>
      </c>
      <c r="O130" s="72">
        <f>973906.9/1000</f>
        <v>973.9069000000001</v>
      </c>
      <c r="P130" s="141"/>
      <c r="Q130" s="141"/>
      <c r="R130" s="145"/>
      <c r="S130" s="145"/>
    </row>
    <row r="131" spans="1:19" s="3" customFormat="1" ht="24" customHeight="1">
      <c r="A131" s="176"/>
      <c r="B131" s="180"/>
      <c r="C131" s="12"/>
      <c r="D131" s="121" t="s">
        <v>181</v>
      </c>
      <c r="E131" s="143"/>
      <c r="F131" s="143"/>
      <c r="G131" s="143"/>
      <c r="H131" s="37"/>
      <c r="I131" s="37"/>
      <c r="J131" s="37"/>
      <c r="K131" s="144"/>
      <c r="L131" s="144"/>
      <c r="M131" s="148"/>
      <c r="N131" s="72">
        <f>11527549.05/1000</f>
        <v>11527.549050000001</v>
      </c>
      <c r="O131" s="77">
        <f>11496663.73/1000</f>
        <v>11496.66373</v>
      </c>
      <c r="P131" s="138"/>
      <c r="Q131" s="138"/>
      <c r="R131" s="140"/>
      <c r="S131" s="140"/>
    </row>
    <row r="132" spans="1:19" s="3" customFormat="1" ht="49.5" customHeight="1">
      <c r="A132" s="158"/>
      <c r="B132" s="149" t="s">
        <v>906</v>
      </c>
      <c r="C132" s="12"/>
      <c r="D132" s="152" t="s">
        <v>138</v>
      </c>
      <c r="E132" s="142" t="s">
        <v>47</v>
      </c>
      <c r="F132" s="142" t="s">
        <v>15</v>
      </c>
      <c r="G132" s="142" t="s">
        <v>48</v>
      </c>
      <c r="H132" s="142"/>
      <c r="I132" s="142"/>
      <c r="J132" s="142"/>
      <c r="K132" s="36" t="s">
        <v>937</v>
      </c>
      <c r="L132" s="43" t="s">
        <v>109</v>
      </c>
      <c r="M132" s="91" t="s">
        <v>919</v>
      </c>
      <c r="N132" s="137">
        <v>0</v>
      </c>
      <c r="O132" s="137">
        <v>0</v>
      </c>
      <c r="P132" s="137">
        <v>2034.1</v>
      </c>
      <c r="Q132" s="137">
        <v>2219.1</v>
      </c>
      <c r="R132" s="139">
        <v>2334.5</v>
      </c>
      <c r="S132" s="139">
        <v>2448.9</v>
      </c>
    </row>
    <row r="133" spans="1:19" s="3" customFormat="1" ht="37.5" customHeight="1">
      <c r="A133" s="160"/>
      <c r="B133" s="150"/>
      <c r="C133" s="12"/>
      <c r="D133" s="153"/>
      <c r="E133" s="143"/>
      <c r="F133" s="143"/>
      <c r="G133" s="143"/>
      <c r="H133" s="143"/>
      <c r="I133" s="143"/>
      <c r="J133" s="143"/>
      <c r="K133" s="128" t="s">
        <v>938</v>
      </c>
      <c r="L133" s="128" t="s">
        <v>298</v>
      </c>
      <c r="M133" s="134" t="s">
        <v>692</v>
      </c>
      <c r="N133" s="141"/>
      <c r="O133" s="141"/>
      <c r="P133" s="141"/>
      <c r="Q133" s="141"/>
      <c r="R133" s="145"/>
      <c r="S133" s="145"/>
    </row>
    <row r="134" spans="1:19" s="3" customFormat="1" ht="74.25" customHeight="1">
      <c r="A134" s="160"/>
      <c r="B134" s="150"/>
      <c r="C134" s="161"/>
      <c r="D134" s="153"/>
      <c r="E134" s="37" t="s">
        <v>288</v>
      </c>
      <c r="F134" s="37" t="s">
        <v>289</v>
      </c>
      <c r="G134" s="37" t="s">
        <v>291</v>
      </c>
      <c r="H134" s="143" t="s">
        <v>320</v>
      </c>
      <c r="I134" s="143" t="s">
        <v>143</v>
      </c>
      <c r="J134" s="143" t="s">
        <v>239</v>
      </c>
      <c r="K134" s="143" t="s">
        <v>877</v>
      </c>
      <c r="L134" s="143" t="s">
        <v>287</v>
      </c>
      <c r="M134" s="143" t="s">
        <v>46</v>
      </c>
      <c r="N134" s="141">
        <f>264256.73/1000</f>
        <v>264.25673</v>
      </c>
      <c r="O134" s="141">
        <v>0</v>
      </c>
      <c r="P134" s="141"/>
      <c r="Q134" s="141"/>
      <c r="R134" s="145"/>
      <c r="S134" s="145"/>
    </row>
    <row r="135" spans="1:19" s="3" customFormat="1" ht="143.25" customHeight="1">
      <c r="A135" s="159"/>
      <c r="B135" s="151"/>
      <c r="C135" s="161"/>
      <c r="D135" s="154"/>
      <c r="E135" s="38" t="s">
        <v>57</v>
      </c>
      <c r="F135" s="38" t="s">
        <v>290</v>
      </c>
      <c r="G135" s="38" t="s">
        <v>142</v>
      </c>
      <c r="H135" s="144"/>
      <c r="I135" s="144"/>
      <c r="J135" s="144"/>
      <c r="K135" s="144"/>
      <c r="L135" s="144"/>
      <c r="M135" s="144"/>
      <c r="N135" s="138"/>
      <c r="O135" s="138"/>
      <c r="P135" s="138"/>
      <c r="Q135" s="138"/>
      <c r="R135" s="140"/>
      <c r="S135" s="140"/>
    </row>
    <row r="136" spans="1:19" s="3" customFormat="1" ht="61.5" customHeight="1">
      <c r="A136" s="54"/>
      <c r="B136" s="11" t="s">
        <v>907</v>
      </c>
      <c r="C136" s="12"/>
      <c r="D136" s="61" t="s">
        <v>138</v>
      </c>
      <c r="E136" s="7" t="s">
        <v>47</v>
      </c>
      <c r="F136" s="7" t="s">
        <v>15</v>
      </c>
      <c r="G136" s="7" t="s">
        <v>48</v>
      </c>
      <c r="H136" s="7"/>
      <c r="I136" s="7"/>
      <c r="J136" s="7"/>
      <c r="K136" s="7" t="s">
        <v>917</v>
      </c>
      <c r="L136" s="7" t="s">
        <v>918</v>
      </c>
      <c r="M136" s="10" t="s">
        <v>919</v>
      </c>
      <c r="N136" s="69">
        <v>0</v>
      </c>
      <c r="O136" s="69">
        <v>0</v>
      </c>
      <c r="P136" s="69">
        <v>165.4</v>
      </c>
      <c r="Q136" s="69">
        <v>175.6</v>
      </c>
      <c r="R136" s="70">
        <v>184.8</v>
      </c>
      <c r="S136" s="70">
        <v>193.8</v>
      </c>
    </row>
    <row r="137" spans="1:19" s="3" customFormat="1" ht="63" customHeight="1">
      <c r="A137" s="54"/>
      <c r="B137" s="11" t="s">
        <v>908</v>
      </c>
      <c r="C137" s="12"/>
      <c r="D137" s="61" t="s">
        <v>138</v>
      </c>
      <c r="E137" s="7" t="s">
        <v>47</v>
      </c>
      <c r="F137" s="7" t="s">
        <v>15</v>
      </c>
      <c r="G137" s="7" t="s">
        <v>48</v>
      </c>
      <c r="H137" s="7"/>
      <c r="I137" s="7"/>
      <c r="J137" s="7"/>
      <c r="K137" s="128" t="s">
        <v>935</v>
      </c>
      <c r="L137" s="128" t="s">
        <v>109</v>
      </c>
      <c r="M137" s="134" t="s">
        <v>919</v>
      </c>
      <c r="N137" s="69">
        <v>0</v>
      </c>
      <c r="O137" s="69">
        <v>0</v>
      </c>
      <c r="P137" s="69">
        <v>1043</v>
      </c>
      <c r="Q137" s="69">
        <v>1107.7</v>
      </c>
      <c r="R137" s="70">
        <v>1165.3</v>
      </c>
      <c r="S137" s="70">
        <v>1222.4</v>
      </c>
    </row>
    <row r="138" spans="1:19" s="3" customFormat="1" ht="49.5" customHeight="1">
      <c r="A138" s="54"/>
      <c r="B138" s="11" t="s">
        <v>362</v>
      </c>
      <c r="C138" s="12"/>
      <c r="D138" s="61" t="s">
        <v>138</v>
      </c>
      <c r="E138" s="36" t="s">
        <v>47</v>
      </c>
      <c r="F138" s="36" t="s">
        <v>15</v>
      </c>
      <c r="G138" s="36" t="s">
        <v>48</v>
      </c>
      <c r="H138" s="7"/>
      <c r="I138" s="7"/>
      <c r="J138" s="7"/>
      <c r="K138" s="7" t="s">
        <v>407</v>
      </c>
      <c r="L138" s="7" t="s">
        <v>238</v>
      </c>
      <c r="M138" s="10" t="s">
        <v>408</v>
      </c>
      <c r="N138" s="69">
        <f>85999.45/1000</f>
        <v>85.99945</v>
      </c>
      <c r="O138" s="77">
        <f>85996/1000</f>
        <v>85.996</v>
      </c>
      <c r="P138" s="69">
        <v>91</v>
      </c>
      <c r="Q138" s="69">
        <v>96</v>
      </c>
      <c r="R138" s="70">
        <v>0</v>
      </c>
      <c r="S138" s="70">
        <v>0</v>
      </c>
    </row>
    <row r="139" spans="1:19" s="3" customFormat="1" ht="108" customHeight="1">
      <c r="A139" s="54"/>
      <c r="B139" s="47" t="s">
        <v>688</v>
      </c>
      <c r="C139" s="12"/>
      <c r="D139" s="62" t="s">
        <v>902</v>
      </c>
      <c r="E139" s="36" t="s">
        <v>47</v>
      </c>
      <c r="F139" s="36" t="s">
        <v>15</v>
      </c>
      <c r="G139" s="36" t="s">
        <v>48</v>
      </c>
      <c r="H139" s="36" t="s">
        <v>712</v>
      </c>
      <c r="I139" s="36" t="s">
        <v>17</v>
      </c>
      <c r="J139" s="36" t="s">
        <v>713</v>
      </c>
      <c r="K139" s="45" t="s">
        <v>489</v>
      </c>
      <c r="L139" s="45" t="s">
        <v>462</v>
      </c>
      <c r="M139" s="87" t="s">
        <v>400</v>
      </c>
      <c r="N139" s="71">
        <f>10417800/1000</f>
        <v>10417.8</v>
      </c>
      <c r="O139" s="69">
        <f>10417703.69/1000</f>
        <v>10417.70369</v>
      </c>
      <c r="P139" s="71">
        <v>0</v>
      </c>
      <c r="Q139" s="71">
        <v>0</v>
      </c>
      <c r="R139" s="74">
        <v>0</v>
      </c>
      <c r="S139" s="74">
        <v>0</v>
      </c>
    </row>
    <row r="140" spans="1:19" s="3" customFormat="1" ht="87.75" customHeight="1">
      <c r="A140" s="54"/>
      <c r="B140" s="47" t="s">
        <v>690</v>
      </c>
      <c r="C140" s="12"/>
      <c r="D140" s="62" t="s">
        <v>138</v>
      </c>
      <c r="E140" s="36" t="s">
        <v>47</v>
      </c>
      <c r="F140" s="36" t="s">
        <v>15</v>
      </c>
      <c r="G140" s="36" t="s">
        <v>48</v>
      </c>
      <c r="H140" s="7" t="s">
        <v>709</v>
      </c>
      <c r="I140" s="7" t="s">
        <v>717</v>
      </c>
      <c r="J140" s="7" t="s">
        <v>711</v>
      </c>
      <c r="K140" s="45" t="s">
        <v>888</v>
      </c>
      <c r="L140" s="45" t="s">
        <v>358</v>
      </c>
      <c r="M140" s="87" t="s">
        <v>711</v>
      </c>
      <c r="N140" s="71">
        <f>93300/1000</f>
        <v>93.3</v>
      </c>
      <c r="O140" s="69">
        <f>93300/1000</f>
        <v>93.3</v>
      </c>
      <c r="P140" s="71">
        <v>0</v>
      </c>
      <c r="Q140" s="71">
        <v>0</v>
      </c>
      <c r="R140" s="74">
        <v>0</v>
      </c>
      <c r="S140" s="74">
        <v>0</v>
      </c>
    </row>
    <row r="141" spans="1:19" s="3" customFormat="1" ht="36.75" customHeight="1">
      <c r="A141" s="158"/>
      <c r="B141" s="149" t="s">
        <v>800</v>
      </c>
      <c r="C141" s="34"/>
      <c r="D141" s="62" t="s">
        <v>138</v>
      </c>
      <c r="E141" s="142" t="s">
        <v>47</v>
      </c>
      <c r="F141" s="142" t="s">
        <v>15</v>
      </c>
      <c r="G141" s="142" t="s">
        <v>48</v>
      </c>
      <c r="H141" s="142"/>
      <c r="I141" s="142"/>
      <c r="J141" s="142"/>
      <c r="K141" s="142" t="s">
        <v>936</v>
      </c>
      <c r="L141" s="142" t="s">
        <v>298</v>
      </c>
      <c r="M141" s="146" t="s">
        <v>919</v>
      </c>
      <c r="N141" s="71">
        <f>4662619.79/1000</f>
        <v>4662.61979</v>
      </c>
      <c r="O141" s="71">
        <f>4662554.92/1000</f>
        <v>4662.55492</v>
      </c>
      <c r="P141" s="71">
        <v>2266</v>
      </c>
      <c r="Q141" s="71">
        <v>2406.5</v>
      </c>
      <c r="R141" s="71">
        <v>2531.6</v>
      </c>
      <c r="S141" s="71">
        <v>2655.7</v>
      </c>
    </row>
    <row r="142" spans="1:19" s="3" customFormat="1" ht="36.75" customHeight="1">
      <c r="A142" s="160"/>
      <c r="B142" s="150"/>
      <c r="C142" s="96"/>
      <c r="D142" s="63" t="s">
        <v>181</v>
      </c>
      <c r="E142" s="143"/>
      <c r="F142" s="143"/>
      <c r="G142" s="143"/>
      <c r="H142" s="143"/>
      <c r="I142" s="143"/>
      <c r="J142" s="143"/>
      <c r="K142" s="143"/>
      <c r="L142" s="143"/>
      <c r="M142" s="147"/>
      <c r="N142" s="72">
        <f>1965000/1000</f>
        <v>1965</v>
      </c>
      <c r="O142" s="72">
        <f>1965000/1000</f>
        <v>1965</v>
      </c>
      <c r="P142" s="72">
        <v>0</v>
      </c>
      <c r="Q142" s="72">
        <v>0</v>
      </c>
      <c r="R142" s="72">
        <v>0</v>
      </c>
      <c r="S142" s="72">
        <v>0</v>
      </c>
    </row>
    <row r="143" spans="1:19" s="3" customFormat="1" ht="36.75" customHeight="1">
      <c r="A143" s="159"/>
      <c r="B143" s="151"/>
      <c r="C143" s="35"/>
      <c r="D143" s="65" t="s">
        <v>181</v>
      </c>
      <c r="E143" s="144"/>
      <c r="F143" s="144"/>
      <c r="G143" s="144"/>
      <c r="H143" s="144"/>
      <c r="I143" s="144"/>
      <c r="J143" s="144"/>
      <c r="K143" s="144"/>
      <c r="L143" s="144"/>
      <c r="M143" s="148"/>
      <c r="N143" s="77">
        <f>100000/1000</f>
        <v>100</v>
      </c>
      <c r="O143" s="77">
        <f>100000/1000</f>
        <v>100</v>
      </c>
      <c r="P143" s="77">
        <v>0</v>
      </c>
      <c r="Q143" s="77">
        <v>0</v>
      </c>
      <c r="R143" s="77">
        <v>0</v>
      </c>
      <c r="S143" s="77">
        <v>0</v>
      </c>
    </row>
    <row r="144" spans="1:19" s="3" customFormat="1" ht="63.75" customHeight="1">
      <c r="A144" s="54"/>
      <c r="B144" s="11" t="s">
        <v>939</v>
      </c>
      <c r="C144" s="12"/>
      <c r="D144" s="61" t="s">
        <v>138</v>
      </c>
      <c r="E144" s="38" t="s">
        <v>47</v>
      </c>
      <c r="F144" s="38" t="s">
        <v>15</v>
      </c>
      <c r="G144" s="38" t="s">
        <v>48</v>
      </c>
      <c r="H144" s="7"/>
      <c r="I144" s="7"/>
      <c r="J144" s="7"/>
      <c r="K144" s="45" t="s">
        <v>940</v>
      </c>
      <c r="L144" s="45" t="s">
        <v>109</v>
      </c>
      <c r="M144" s="87" t="s">
        <v>919</v>
      </c>
      <c r="N144" s="69"/>
      <c r="O144" s="69"/>
      <c r="P144" s="69">
        <f>40+32.14472</f>
        <v>72.14472</v>
      </c>
      <c r="Q144" s="69">
        <v>76.6</v>
      </c>
      <c r="R144" s="69">
        <v>80.6</v>
      </c>
      <c r="S144" s="69">
        <v>84.5</v>
      </c>
    </row>
    <row r="145" spans="1:19" s="3" customFormat="1" ht="98.25" customHeight="1">
      <c r="A145" s="57"/>
      <c r="B145" s="46" t="s">
        <v>864</v>
      </c>
      <c r="C145" s="35"/>
      <c r="D145" s="63" t="s">
        <v>138</v>
      </c>
      <c r="E145" s="38" t="s">
        <v>47</v>
      </c>
      <c r="F145" s="38" t="s">
        <v>15</v>
      </c>
      <c r="G145" s="38" t="s">
        <v>48</v>
      </c>
      <c r="H145" s="38" t="s">
        <v>876</v>
      </c>
      <c r="I145" s="38" t="s">
        <v>298</v>
      </c>
      <c r="J145" s="38" t="s">
        <v>889</v>
      </c>
      <c r="K145" s="51" t="s">
        <v>865</v>
      </c>
      <c r="L145" s="51" t="s">
        <v>358</v>
      </c>
      <c r="M145" s="51" t="s">
        <v>866</v>
      </c>
      <c r="N145" s="72">
        <f>449802.38/1000</f>
        <v>449.80238</v>
      </c>
      <c r="O145" s="72">
        <v>0</v>
      </c>
      <c r="P145" s="72">
        <v>0</v>
      </c>
      <c r="Q145" s="72">
        <v>0</v>
      </c>
      <c r="R145" s="72">
        <v>0</v>
      </c>
      <c r="S145" s="72">
        <v>0</v>
      </c>
    </row>
    <row r="146" spans="1:19" s="2" customFormat="1" ht="19.5">
      <c r="A146" s="53" t="s">
        <v>110</v>
      </c>
      <c r="B146" s="30" t="s">
        <v>317</v>
      </c>
      <c r="C146" s="16"/>
      <c r="D146" s="61"/>
      <c r="E146" s="7"/>
      <c r="F146" s="7"/>
      <c r="G146" s="7"/>
      <c r="H146" s="7"/>
      <c r="I146" s="7"/>
      <c r="J146" s="7"/>
      <c r="K146" s="127"/>
      <c r="L146" s="7"/>
      <c r="M146" s="7"/>
      <c r="N146" s="69"/>
      <c r="O146" s="69"/>
      <c r="P146" s="69"/>
      <c r="Q146" s="75"/>
      <c r="R146" s="97"/>
      <c r="S146" s="97"/>
    </row>
    <row r="147" spans="1:19" s="2" customFormat="1" ht="28.5" customHeight="1">
      <c r="A147" s="53" t="s">
        <v>346</v>
      </c>
      <c r="B147" s="30" t="s">
        <v>261</v>
      </c>
      <c r="C147" s="16"/>
      <c r="D147" s="61"/>
      <c r="E147" s="7"/>
      <c r="F147" s="7"/>
      <c r="G147" s="7"/>
      <c r="H147" s="7"/>
      <c r="I147" s="7"/>
      <c r="J147" s="7"/>
      <c r="K147" s="7"/>
      <c r="L147" s="7"/>
      <c r="M147" s="7"/>
      <c r="N147" s="68">
        <f aca="true" t="shared" si="6" ref="N147:S147">SUM(N148:N150)</f>
        <v>2098.1</v>
      </c>
      <c r="O147" s="68">
        <f t="shared" si="6"/>
        <v>2043.726</v>
      </c>
      <c r="P147" s="68">
        <f t="shared" si="6"/>
        <v>1802</v>
      </c>
      <c r="Q147" s="68">
        <f t="shared" si="6"/>
        <v>1913.7</v>
      </c>
      <c r="R147" s="68">
        <f t="shared" si="6"/>
        <v>2013.2</v>
      </c>
      <c r="S147" s="68">
        <f t="shared" si="6"/>
        <v>2111.9</v>
      </c>
    </row>
    <row r="148" spans="1:19" s="2" customFormat="1" ht="63" customHeight="1">
      <c r="A148" s="158"/>
      <c r="B148" s="149" t="s">
        <v>334</v>
      </c>
      <c r="C148" s="12"/>
      <c r="D148" s="152" t="s">
        <v>179</v>
      </c>
      <c r="E148" s="142" t="s">
        <v>47</v>
      </c>
      <c r="F148" s="142" t="s">
        <v>15</v>
      </c>
      <c r="G148" s="142" t="s">
        <v>48</v>
      </c>
      <c r="H148" s="142"/>
      <c r="I148" s="142"/>
      <c r="J148" s="171"/>
      <c r="K148" s="48" t="s">
        <v>490</v>
      </c>
      <c r="L148" s="48" t="s">
        <v>17</v>
      </c>
      <c r="M148" s="48" t="s">
        <v>491</v>
      </c>
      <c r="N148" s="137">
        <f>608100/1000</f>
        <v>608.1</v>
      </c>
      <c r="O148" s="137">
        <f>608100/1000</f>
        <v>608.1</v>
      </c>
      <c r="P148" s="137">
        <v>0</v>
      </c>
      <c r="Q148" s="137">
        <v>0</v>
      </c>
      <c r="R148" s="139">
        <v>0</v>
      </c>
      <c r="S148" s="139">
        <v>0</v>
      </c>
    </row>
    <row r="149" spans="1:19" s="2" customFormat="1" ht="75" customHeight="1">
      <c r="A149" s="159"/>
      <c r="B149" s="151"/>
      <c r="C149" s="12"/>
      <c r="D149" s="154"/>
      <c r="E149" s="144"/>
      <c r="F149" s="144"/>
      <c r="G149" s="144"/>
      <c r="H149" s="144"/>
      <c r="I149" s="144"/>
      <c r="J149" s="173"/>
      <c r="K149" s="51" t="s">
        <v>492</v>
      </c>
      <c r="L149" s="51" t="s">
        <v>493</v>
      </c>
      <c r="M149" s="51" t="s">
        <v>491</v>
      </c>
      <c r="N149" s="138"/>
      <c r="O149" s="138"/>
      <c r="P149" s="138"/>
      <c r="Q149" s="138"/>
      <c r="R149" s="140"/>
      <c r="S149" s="140"/>
    </row>
    <row r="150" spans="1:19" s="3" customFormat="1" ht="96.75" customHeight="1">
      <c r="A150" s="54"/>
      <c r="B150" s="11" t="s">
        <v>20</v>
      </c>
      <c r="C150" s="12"/>
      <c r="D150" s="61" t="s">
        <v>21</v>
      </c>
      <c r="E150" s="7" t="s">
        <v>47</v>
      </c>
      <c r="F150" s="7" t="s">
        <v>15</v>
      </c>
      <c r="G150" s="7" t="s">
        <v>48</v>
      </c>
      <c r="H150" s="7"/>
      <c r="I150" s="7"/>
      <c r="J150" s="7"/>
      <c r="K150" s="7" t="s">
        <v>227</v>
      </c>
      <c r="L150" s="7" t="s">
        <v>53</v>
      </c>
      <c r="M150" s="7" t="s">
        <v>192</v>
      </c>
      <c r="N150" s="69">
        <f>1490000/1000</f>
        <v>1490</v>
      </c>
      <c r="O150" s="69">
        <f>1435626/1000</f>
        <v>1435.626</v>
      </c>
      <c r="P150" s="69">
        <v>1802</v>
      </c>
      <c r="Q150" s="69">
        <v>1913.7</v>
      </c>
      <c r="R150" s="70">
        <v>2013.2</v>
      </c>
      <c r="S150" s="70">
        <v>2111.9</v>
      </c>
    </row>
    <row r="151" spans="1:19" s="6" customFormat="1" ht="85.5" customHeight="1">
      <c r="A151" s="53" t="s">
        <v>158</v>
      </c>
      <c r="B151" s="30" t="s">
        <v>124</v>
      </c>
      <c r="C151" s="16"/>
      <c r="D151" s="64"/>
      <c r="E151" s="28"/>
      <c r="F151" s="28"/>
      <c r="G151" s="28"/>
      <c r="H151" s="28"/>
      <c r="I151" s="28"/>
      <c r="J151" s="28"/>
      <c r="K151" s="28"/>
      <c r="L151" s="28"/>
      <c r="M151" s="28"/>
      <c r="N151" s="68"/>
      <c r="O151" s="68"/>
      <c r="P151" s="68"/>
      <c r="Q151" s="68"/>
      <c r="R151" s="68"/>
      <c r="S151" s="68"/>
    </row>
    <row r="152" spans="1:19" s="2" customFormat="1" ht="60" customHeight="1">
      <c r="A152" s="53" t="s">
        <v>84</v>
      </c>
      <c r="B152" s="30" t="s">
        <v>72</v>
      </c>
      <c r="C152" s="16"/>
      <c r="D152" s="61"/>
      <c r="E152" s="7"/>
      <c r="F152" s="7"/>
      <c r="G152" s="7"/>
      <c r="H152" s="7"/>
      <c r="I152" s="7"/>
      <c r="J152" s="7"/>
      <c r="K152" s="7"/>
      <c r="L152" s="7"/>
      <c r="M152" s="7"/>
      <c r="N152" s="69"/>
      <c r="O152" s="69"/>
      <c r="P152" s="69"/>
      <c r="Q152" s="75"/>
      <c r="R152" s="97"/>
      <c r="S152" s="97"/>
    </row>
    <row r="153" spans="1:19" s="2" customFormat="1" ht="35.25" customHeight="1">
      <c r="A153" s="53" t="s">
        <v>62</v>
      </c>
      <c r="B153" s="30" t="s">
        <v>122</v>
      </c>
      <c r="C153" s="16"/>
      <c r="D153" s="61"/>
      <c r="E153" s="7"/>
      <c r="F153" s="7"/>
      <c r="G153" s="7"/>
      <c r="H153" s="7"/>
      <c r="I153" s="7"/>
      <c r="J153" s="7"/>
      <c r="K153" s="7"/>
      <c r="L153" s="7"/>
      <c r="M153" s="7"/>
      <c r="N153" s="68">
        <f aca="true" t="shared" si="7" ref="N153:S153">SUM(N154:N157)</f>
        <v>2679.4585</v>
      </c>
      <c r="O153" s="68">
        <f t="shared" si="7"/>
        <v>2679.45811</v>
      </c>
      <c r="P153" s="68">
        <f t="shared" si="7"/>
        <v>2276</v>
      </c>
      <c r="Q153" s="68">
        <f t="shared" si="7"/>
        <v>2478.3</v>
      </c>
      <c r="R153" s="68">
        <f t="shared" si="7"/>
        <v>2607.2</v>
      </c>
      <c r="S153" s="68">
        <f t="shared" si="7"/>
        <v>2734.9</v>
      </c>
    </row>
    <row r="154" spans="1:19" s="3" customFormat="1" ht="63.75" customHeight="1">
      <c r="A154" s="158"/>
      <c r="B154" s="149" t="s">
        <v>695</v>
      </c>
      <c r="C154" s="12"/>
      <c r="D154" s="62" t="s">
        <v>364</v>
      </c>
      <c r="E154" s="36" t="s">
        <v>47</v>
      </c>
      <c r="F154" s="36" t="s">
        <v>15</v>
      </c>
      <c r="G154" s="36" t="s">
        <v>48</v>
      </c>
      <c r="H154" s="36"/>
      <c r="I154" s="36"/>
      <c r="J154" s="36"/>
      <c r="K154" s="36" t="s">
        <v>343</v>
      </c>
      <c r="L154" s="36" t="s">
        <v>321</v>
      </c>
      <c r="M154" s="36" t="s">
        <v>46</v>
      </c>
      <c r="N154" s="71">
        <f>2179458.5/1000</f>
        <v>2179.4585</v>
      </c>
      <c r="O154" s="71">
        <f>2179458.11/1000</f>
        <v>2179.45811</v>
      </c>
      <c r="P154" s="71">
        <v>2276</v>
      </c>
      <c r="Q154" s="71">
        <v>2478.3</v>
      </c>
      <c r="R154" s="74">
        <v>2607.2</v>
      </c>
      <c r="S154" s="74">
        <v>2734.9</v>
      </c>
    </row>
    <row r="155" spans="1:19" s="3" customFormat="1" ht="74.25" customHeight="1">
      <c r="A155" s="160"/>
      <c r="B155" s="150"/>
      <c r="C155" s="161"/>
      <c r="D155" s="153"/>
      <c r="E155" s="37" t="s">
        <v>288</v>
      </c>
      <c r="F155" s="37" t="s">
        <v>289</v>
      </c>
      <c r="G155" s="37" t="s">
        <v>291</v>
      </c>
      <c r="H155" s="143" t="s">
        <v>320</v>
      </c>
      <c r="I155" s="143" t="s">
        <v>143</v>
      </c>
      <c r="J155" s="143" t="s">
        <v>239</v>
      </c>
      <c r="K155" s="143" t="s">
        <v>877</v>
      </c>
      <c r="L155" s="143" t="s">
        <v>287</v>
      </c>
      <c r="M155" s="143" t="s">
        <v>46</v>
      </c>
      <c r="N155" s="141"/>
      <c r="O155" s="141"/>
      <c r="P155" s="141"/>
      <c r="Q155" s="141"/>
      <c r="R155" s="145"/>
      <c r="S155" s="145"/>
    </row>
    <row r="156" spans="1:19" s="3" customFormat="1" ht="148.5" customHeight="1">
      <c r="A156" s="159"/>
      <c r="B156" s="151"/>
      <c r="C156" s="161"/>
      <c r="D156" s="154"/>
      <c r="E156" s="38" t="s">
        <v>57</v>
      </c>
      <c r="F156" s="38" t="s">
        <v>290</v>
      </c>
      <c r="G156" s="38" t="s">
        <v>142</v>
      </c>
      <c r="H156" s="144"/>
      <c r="I156" s="144"/>
      <c r="J156" s="144"/>
      <c r="K156" s="144"/>
      <c r="L156" s="144"/>
      <c r="M156" s="144"/>
      <c r="N156" s="138"/>
      <c r="O156" s="138"/>
      <c r="P156" s="138"/>
      <c r="Q156" s="138"/>
      <c r="R156" s="140"/>
      <c r="S156" s="140"/>
    </row>
    <row r="157" spans="1:19" s="3" customFormat="1" ht="111" customHeight="1">
      <c r="A157" s="54"/>
      <c r="B157" s="11" t="s">
        <v>695</v>
      </c>
      <c r="C157" s="12"/>
      <c r="D157" s="61" t="s">
        <v>364</v>
      </c>
      <c r="E157" s="7" t="s">
        <v>47</v>
      </c>
      <c r="F157" s="7" t="s">
        <v>15</v>
      </c>
      <c r="G157" s="7" t="s">
        <v>48</v>
      </c>
      <c r="H157" s="7"/>
      <c r="I157" s="7"/>
      <c r="J157" s="7"/>
      <c r="K157" s="7" t="s">
        <v>489</v>
      </c>
      <c r="L157" s="45" t="s">
        <v>462</v>
      </c>
      <c r="M157" s="45" t="s">
        <v>400</v>
      </c>
      <c r="N157" s="69">
        <f>500000/1000</f>
        <v>500</v>
      </c>
      <c r="O157" s="69">
        <f>500000/1000</f>
        <v>500</v>
      </c>
      <c r="P157" s="69">
        <v>0</v>
      </c>
      <c r="Q157" s="69">
        <v>0</v>
      </c>
      <c r="R157" s="70">
        <v>0</v>
      </c>
      <c r="S157" s="70">
        <v>0</v>
      </c>
    </row>
    <row r="158" spans="1:19" s="2" customFormat="1" ht="48" customHeight="1">
      <c r="A158" s="53" t="s">
        <v>161</v>
      </c>
      <c r="B158" s="30" t="s">
        <v>234</v>
      </c>
      <c r="C158" s="16"/>
      <c r="D158" s="61"/>
      <c r="E158" s="7"/>
      <c r="F158" s="7"/>
      <c r="G158" s="7"/>
      <c r="H158" s="7"/>
      <c r="I158" s="7"/>
      <c r="J158" s="7"/>
      <c r="K158" s="7"/>
      <c r="L158" s="7"/>
      <c r="M158" s="7"/>
      <c r="N158" s="69"/>
      <c r="O158" s="69"/>
      <c r="P158" s="69"/>
      <c r="Q158" s="75"/>
      <c r="R158" s="97"/>
      <c r="S158" s="97"/>
    </row>
    <row r="159" spans="1:19" s="2" customFormat="1" ht="61.5" customHeight="1">
      <c r="A159" s="53" t="s">
        <v>79</v>
      </c>
      <c r="B159" s="30" t="s">
        <v>80</v>
      </c>
      <c r="C159" s="16"/>
      <c r="D159" s="61"/>
      <c r="E159" s="7"/>
      <c r="F159" s="7"/>
      <c r="G159" s="7"/>
      <c r="H159" s="7"/>
      <c r="I159" s="7"/>
      <c r="J159" s="7"/>
      <c r="K159" s="7"/>
      <c r="L159" s="7"/>
      <c r="M159" s="7"/>
      <c r="N159" s="68">
        <f>SUM(N160)</f>
        <v>978.5</v>
      </c>
      <c r="O159" s="68">
        <f>SUM(O160)</f>
        <v>766.88997</v>
      </c>
      <c r="P159" s="68">
        <f>SUM(P160)</f>
        <v>1598</v>
      </c>
      <c r="Q159" s="68">
        <f>SUM(Q160)</f>
        <v>0</v>
      </c>
      <c r="R159" s="68">
        <f>SUM(R160)</f>
        <v>0</v>
      </c>
      <c r="S159" s="68">
        <v>0</v>
      </c>
    </row>
    <row r="160" spans="1:19" s="2" customFormat="1" ht="138.75" customHeight="1">
      <c r="A160" s="54"/>
      <c r="B160" s="11" t="s">
        <v>309</v>
      </c>
      <c r="C160" s="12"/>
      <c r="D160" s="61" t="s">
        <v>273</v>
      </c>
      <c r="E160" s="7" t="s">
        <v>47</v>
      </c>
      <c r="F160" s="7" t="s">
        <v>15</v>
      </c>
      <c r="G160" s="7" t="s">
        <v>48</v>
      </c>
      <c r="H160" s="7"/>
      <c r="I160" s="7"/>
      <c r="J160" s="7"/>
      <c r="K160" s="7" t="s">
        <v>1033</v>
      </c>
      <c r="L160" s="7" t="s">
        <v>87</v>
      </c>
      <c r="M160" s="7" t="s">
        <v>318</v>
      </c>
      <c r="N160" s="69">
        <f>978500/1000</f>
        <v>978.5</v>
      </c>
      <c r="O160" s="69">
        <f>766889.97/1000</f>
        <v>766.88997</v>
      </c>
      <c r="P160" s="69">
        <v>1598</v>
      </c>
      <c r="Q160" s="69">
        <v>0</v>
      </c>
      <c r="R160" s="70">
        <v>0</v>
      </c>
      <c r="S160" s="70">
        <v>1</v>
      </c>
    </row>
    <row r="161" spans="1:19" s="2" customFormat="1" ht="63" customHeight="1">
      <c r="A161" s="53" t="s">
        <v>167</v>
      </c>
      <c r="B161" s="30" t="s">
        <v>119</v>
      </c>
      <c r="C161" s="16"/>
      <c r="D161" s="61"/>
      <c r="E161" s="7"/>
      <c r="F161" s="7"/>
      <c r="G161" s="7"/>
      <c r="H161" s="7"/>
      <c r="I161" s="7"/>
      <c r="J161" s="7"/>
      <c r="K161" s="7"/>
      <c r="L161" s="7"/>
      <c r="M161" s="7"/>
      <c r="N161" s="68"/>
      <c r="O161" s="68"/>
      <c r="P161" s="68"/>
      <c r="Q161" s="68"/>
      <c r="R161" s="68"/>
      <c r="S161" s="68"/>
    </row>
    <row r="162" spans="1:19" s="2" customFormat="1" ht="87.75" customHeight="1" hidden="1" outlineLevel="1">
      <c r="A162" s="54"/>
      <c r="B162" s="11" t="s">
        <v>213</v>
      </c>
      <c r="C162" s="16"/>
      <c r="D162" s="61" t="s">
        <v>214</v>
      </c>
      <c r="E162" s="7"/>
      <c r="F162" s="7"/>
      <c r="G162" s="7"/>
      <c r="H162" s="7"/>
      <c r="I162" s="7"/>
      <c r="J162" s="7"/>
      <c r="K162" s="7" t="s">
        <v>172</v>
      </c>
      <c r="L162" s="7" t="s">
        <v>298</v>
      </c>
      <c r="M162" s="7" t="s">
        <v>319</v>
      </c>
      <c r="N162" s="69">
        <v>0</v>
      </c>
      <c r="O162" s="69">
        <v>0</v>
      </c>
      <c r="P162" s="69">
        <v>0</v>
      </c>
      <c r="Q162" s="75"/>
      <c r="R162" s="97"/>
      <c r="S162" s="97"/>
    </row>
    <row r="163" spans="1:19" s="6" customFormat="1" ht="61.5" customHeight="1" collapsed="1">
      <c r="A163" s="53" t="s">
        <v>163</v>
      </c>
      <c r="B163" s="30" t="s">
        <v>342</v>
      </c>
      <c r="C163" s="16"/>
      <c r="D163" s="64"/>
      <c r="E163" s="85"/>
      <c r="F163" s="85"/>
      <c r="G163" s="85"/>
      <c r="H163" s="85"/>
      <c r="I163" s="85"/>
      <c r="J163" s="85"/>
      <c r="K163" s="28"/>
      <c r="L163" s="28"/>
      <c r="M163" s="28"/>
      <c r="N163" s="68">
        <f aca="true" t="shared" si="8" ref="N163:S163">SUM(N164:N164)</f>
        <v>334.24945</v>
      </c>
      <c r="O163" s="68">
        <f t="shared" si="8"/>
        <v>332.19854</v>
      </c>
      <c r="P163" s="68">
        <f t="shared" si="8"/>
        <v>334</v>
      </c>
      <c r="Q163" s="68">
        <f t="shared" si="8"/>
        <v>354.7</v>
      </c>
      <c r="R163" s="68">
        <f t="shared" si="8"/>
        <v>373.2</v>
      </c>
      <c r="S163" s="68">
        <f t="shared" si="8"/>
        <v>391.4</v>
      </c>
    </row>
    <row r="164" spans="1:19" s="6" customFormat="1" ht="97.5" customHeight="1">
      <c r="A164" s="57"/>
      <c r="B164" s="40" t="s">
        <v>417</v>
      </c>
      <c r="C164" s="12"/>
      <c r="D164" s="65" t="s">
        <v>364</v>
      </c>
      <c r="E164" s="7" t="s">
        <v>47</v>
      </c>
      <c r="F164" s="7" t="s">
        <v>15</v>
      </c>
      <c r="G164" s="7" t="s">
        <v>48</v>
      </c>
      <c r="H164" s="116"/>
      <c r="I164" s="116"/>
      <c r="J164" s="116"/>
      <c r="K164" s="36" t="s">
        <v>1034</v>
      </c>
      <c r="L164" s="36" t="s">
        <v>583</v>
      </c>
      <c r="M164" s="36" t="s">
        <v>8</v>
      </c>
      <c r="N164" s="77">
        <f>334249.45/1000</f>
        <v>334.24945</v>
      </c>
      <c r="O164" s="77">
        <f>332198.54/1000</f>
        <v>332.19854</v>
      </c>
      <c r="P164" s="77">
        <v>334</v>
      </c>
      <c r="Q164" s="77">
        <v>354.7</v>
      </c>
      <c r="R164" s="79">
        <v>373.2</v>
      </c>
      <c r="S164" s="79">
        <v>391.4</v>
      </c>
    </row>
    <row r="165" spans="1:19" s="2" customFormat="1" ht="46.5" customHeight="1">
      <c r="A165" s="53" t="s">
        <v>235</v>
      </c>
      <c r="B165" s="30" t="s">
        <v>236</v>
      </c>
      <c r="C165" s="16"/>
      <c r="D165" s="61"/>
      <c r="E165" s="7"/>
      <c r="F165" s="7"/>
      <c r="G165" s="7"/>
      <c r="H165" s="7"/>
      <c r="I165" s="7"/>
      <c r="J165" s="7"/>
      <c r="K165" s="7"/>
      <c r="L165" s="7"/>
      <c r="M165" s="7"/>
      <c r="N165" s="69"/>
      <c r="O165" s="69"/>
      <c r="P165" s="69"/>
      <c r="Q165" s="75"/>
      <c r="R165" s="97"/>
      <c r="S165" s="97"/>
    </row>
    <row r="166" spans="1:19" s="6" customFormat="1" ht="51" customHeight="1">
      <c r="A166" s="53" t="s">
        <v>23</v>
      </c>
      <c r="B166" s="30" t="s">
        <v>55</v>
      </c>
      <c r="C166" s="16"/>
      <c r="D166" s="64"/>
      <c r="E166" s="85"/>
      <c r="F166" s="85"/>
      <c r="G166" s="85"/>
      <c r="H166" s="85"/>
      <c r="I166" s="85"/>
      <c r="J166" s="85"/>
      <c r="K166" s="28"/>
      <c r="L166" s="28"/>
      <c r="M166" s="28"/>
      <c r="N166" s="68">
        <f aca="true" t="shared" si="9" ref="N166:S166">SUM(N167:N167)</f>
        <v>43180</v>
      </c>
      <c r="O166" s="68">
        <f t="shared" si="9"/>
        <v>43180</v>
      </c>
      <c r="P166" s="68">
        <f t="shared" si="9"/>
        <v>43065</v>
      </c>
      <c r="Q166" s="68">
        <f t="shared" si="9"/>
        <v>45735</v>
      </c>
      <c r="R166" s="68">
        <f t="shared" si="9"/>
        <v>48113.3</v>
      </c>
      <c r="S166" s="68">
        <f t="shared" si="9"/>
        <v>50470.8</v>
      </c>
    </row>
    <row r="167" spans="1:19" s="6" customFormat="1" ht="45" customHeight="1">
      <c r="A167" s="53"/>
      <c r="B167" s="11" t="s">
        <v>304</v>
      </c>
      <c r="C167" s="12"/>
      <c r="D167" s="66" t="s">
        <v>376</v>
      </c>
      <c r="E167" s="85" t="s">
        <v>47</v>
      </c>
      <c r="F167" s="85" t="s">
        <v>15</v>
      </c>
      <c r="G167" s="85" t="s">
        <v>48</v>
      </c>
      <c r="H167" s="85" t="s">
        <v>196</v>
      </c>
      <c r="I167" s="85" t="s">
        <v>197</v>
      </c>
      <c r="J167" s="85" t="s">
        <v>154</v>
      </c>
      <c r="K167" s="7" t="s">
        <v>1045</v>
      </c>
      <c r="L167" s="7" t="s">
        <v>404</v>
      </c>
      <c r="M167" s="7" t="s">
        <v>464</v>
      </c>
      <c r="N167" s="69">
        <f>43180000/1000</f>
        <v>43180</v>
      </c>
      <c r="O167" s="69">
        <f>43180000/1000</f>
        <v>43180</v>
      </c>
      <c r="P167" s="69">
        <v>43065</v>
      </c>
      <c r="Q167" s="69">
        <v>45735</v>
      </c>
      <c r="R167" s="70">
        <v>48113.3</v>
      </c>
      <c r="S167" s="70">
        <v>50470.8</v>
      </c>
    </row>
    <row r="168" spans="1:19" s="2" customFormat="1" ht="50.25" customHeight="1">
      <c r="A168" s="53" t="s">
        <v>146</v>
      </c>
      <c r="B168" s="30" t="s">
        <v>29</v>
      </c>
      <c r="C168" s="16"/>
      <c r="D168" s="61"/>
      <c r="E168" s="7"/>
      <c r="F168" s="7"/>
      <c r="G168" s="7"/>
      <c r="H168" s="7"/>
      <c r="I168" s="7"/>
      <c r="J168" s="7"/>
      <c r="K168" s="7"/>
      <c r="L168" s="7"/>
      <c r="M168" s="7"/>
      <c r="N168" s="69"/>
      <c r="O168" s="69"/>
      <c r="P168" s="69"/>
      <c r="Q168" s="75"/>
      <c r="R168" s="97"/>
      <c r="S168" s="97"/>
    </row>
    <row r="169" spans="1:19" s="2" customFormat="1" ht="40.5" customHeight="1">
      <c r="A169" s="53" t="s">
        <v>262</v>
      </c>
      <c r="B169" s="30" t="s">
        <v>56</v>
      </c>
      <c r="C169" s="16"/>
      <c r="D169" s="61"/>
      <c r="E169" s="7"/>
      <c r="F169" s="7"/>
      <c r="G169" s="7"/>
      <c r="H169" s="7"/>
      <c r="I169" s="7"/>
      <c r="J169" s="7"/>
      <c r="K169" s="7"/>
      <c r="L169" s="7"/>
      <c r="M169" s="7"/>
      <c r="N169" s="69"/>
      <c r="O169" s="69"/>
      <c r="P169" s="69"/>
      <c r="Q169" s="75"/>
      <c r="R169" s="97"/>
      <c r="S169" s="97"/>
    </row>
    <row r="170" spans="1:19" s="6" customFormat="1" ht="63.75" customHeight="1">
      <c r="A170" s="53" t="s">
        <v>76</v>
      </c>
      <c r="B170" s="30" t="s">
        <v>32</v>
      </c>
      <c r="C170" s="16"/>
      <c r="D170" s="64"/>
      <c r="E170" s="28"/>
      <c r="F170" s="28"/>
      <c r="G170" s="28"/>
      <c r="H170" s="28"/>
      <c r="I170" s="28"/>
      <c r="J170" s="28"/>
      <c r="K170" s="28"/>
      <c r="L170" s="28"/>
      <c r="M170" s="28"/>
      <c r="N170" s="68"/>
      <c r="O170" s="68"/>
      <c r="P170" s="68"/>
      <c r="Q170" s="81"/>
      <c r="R170" s="99"/>
      <c r="S170" s="99"/>
    </row>
    <row r="171" spans="1:19" s="2" customFormat="1" ht="38.25" customHeight="1">
      <c r="A171" s="53" t="s">
        <v>156</v>
      </c>
      <c r="B171" s="30" t="s">
        <v>351</v>
      </c>
      <c r="C171" s="16"/>
      <c r="D171" s="61"/>
      <c r="E171" s="7"/>
      <c r="F171" s="7"/>
      <c r="G171" s="7"/>
      <c r="H171" s="7"/>
      <c r="I171" s="7"/>
      <c r="J171" s="7"/>
      <c r="K171" s="7"/>
      <c r="L171" s="7"/>
      <c r="M171" s="7"/>
      <c r="N171" s="69"/>
      <c r="O171" s="69"/>
      <c r="P171" s="69"/>
      <c r="Q171" s="75"/>
      <c r="R171" s="97"/>
      <c r="S171" s="97"/>
    </row>
    <row r="172" spans="1:19" s="6" customFormat="1" ht="61.5" customHeight="1">
      <c r="A172" s="53" t="s">
        <v>70</v>
      </c>
      <c r="B172" s="30" t="s">
        <v>71</v>
      </c>
      <c r="C172" s="16"/>
      <c r="D172" s="64"/>
      <c r="E172" s="28"/>
      <c r="F172" s="28"/>
      <c r="G172" s="28"/>
      <c r="H172" s="28"/>
      <c r="I172" s="28"/>
      <c r="J172" s="28"/>
      <c r="K172" s="28"/>
      <c r="L172" s="28"/>
      <c r="M172" s="28"/>
      <c r="N172" s="68">
        <f aca="true" t="shared" si="10" ref="N172:S172">SUM(N173:N176)</f>
        <v>7009.14253</v>
      </c>
      <c r="O172" s="68">
        <f t="shared" si="10"/>
        <v>3767.73053</v>
      </c>
      <c r="P172" s="68">
        <f t="shared" si="10"/>
        <v>3435.7780000000002</v>
      </c>
      <c r="Q172" s="68">
        <f t="shared" si="10"/>
        <v>313.3</v>
      </c>
      <c r="R172" s="68">
        <f t="shared" si="10"/>
        <v>329.6</v>
      </c>
      <c r="S172" s="68">
        <f t="shared" si="10"/>
        <v>345.7</v>
      </c>
    </row>
    <row r="173" spans="1:19" s="2" customFormat="1" ht="110.25" customHeight="1">
      <c r="A173" s="54"/>
      <c r="B173" s="11" t="s">
        <v>222</v>
      </c>
      <c r="C173" s="12"/>
      <c r="D173" s="61" t="s">
        <v>184</v>
      </c>
      <c r="E173" s="7" t="s">
        <v>47</v>
      </c>
      <c r="F173" s="7" t="s">
        <v>15</v>
      </c>
      <c r="G173" s="7" t="s">
        <v>48</v>
      </c>
      <c r="H173" s="7"/>
      <c r="I173" s="7"/>
      <c r="J173" s="7"/>
      <c r="K173" s="52" t="s">
        <v>890</v>
      </c>
      <c r="L173" s="52" t="s">
        <v>494</v>
      </c>
      <c r="M173" s="52" t="s">
        <v>487</v>
      </c>
      <c r="N173" s="69">
        <f>403842.53/1000</f>
        <v>403.84253</v>
      </c>
      <c r="O173" s="69">
        <f>390378.53/1000</f>
        <v>390.37853</v>
      </c>
      <c r="P173" s="69">
        <v>0</v>
      </c>
      <c r="Q173" s="69">
        <v>0</v>
      </c>
      <c r="R173" s="70">
        <v>0</v>
      </c>
      <c r="S173" s="70">
        <v>0</v>
      </c>
    </row>
    <row r="174" spans="1:19" s="2" customFormat="1" ht="62.25" customHeight="1">
      <c r="A174" s="54"/>
      <c r="B174" s="40" t="s">
        <v>222</v>
      </c>
      <c r="C174" s="34"/>
      <c r="D174" s="62" t="s">
        <v>184</v>
      </c>
      <c r="E174" s="36" t="s">
        <v>47</v>
      </c>
      <c r="F174" s="36" t="s">
        <v>602</v>
      </c>
      <c r="G174" s="36" t="s">
        <v>48</v>
      </c>
      <c r="H174" s="7"/>
      <c r="I174" s="7"/>
      <c r="J174" s="7"/>
      <c r="K174" s="52" t="s">
        <v>1035</v>
      </c>
      <c r="L174" s="52" t="s">
        <v>121</v>
      </c>
      <c r="M174" s="52" t="s">
        <v>1017</v>
      </c>
      <c r="N174" s="69">
        <v>0</v>
      </c>
      <c r="O174" s="69">
        <v>0</v>
      </c>
      <c r="P174" s="69">
        <v>295</v>
      </c>
      <c r="Q174" s="69">
        <v>313.3</v>
      </c>
      <c r="R174" s="70">
        <v>329.6</v>
      </c>
      <c r="S174" s="70">
        <v>345.7</v>
      </c>
    </row>
    <row r="175" spans="1:19" s="2" customFormat="1" ht="69" customHeight="1">
      <c r="A175" s="176"/>
      <c r="B175" s="180" t="s">
        <v>150</v>
      </c>
      <c r="C175" s="12"/>
      <c r="D175" s="184" t="s">
        <v>273</v>
      </c>
      <c r="E175" s="142" t="s">
        <v>47</v>
      </c>
      <c r="F175" s="142" t="s">
        <v>15</v>
      </c>
      <c r="G175" s="142" t="s">
        <v>48</v>
      </c>
      <c r="H175" s="142"/>
      <c r="I175" s="142"/>
      <c r="J175" s="142"/>
      <c r="K175" s="162" t="s">
        <v>1036</v>
      </c>
      <c r="L175" s="162" t="s">
        <v>221</v>
      </c>
      <c r="M175" s="162" t="s">
        <v>318</v>
      </c>
      <c r="N175" s="71">
        <f>4185300/1000</f>
        <v>4185.3</v>
      </c>
      <c r="O175" s="71">
        <f>1627405/1000</f>
        <v>1627.405</v>
      </c>
      <c r="P175" s="71">
        <f>2557895/1000</f>
        <v>2557.895</v>
      </c>
      <c r="Q175" s="71">
        <v>0</v>
      </c>
      <c r="R175" s="71">
        <v>0</v>
      </c>
      <c r="S175" s="71">
        <v>0</v>
      </c>
    </row>
    <row r="176" spans="1:19" s="2" customFormat="1" ht="69" customHeight="1">
      <c r="A176" s="176"/>
      <c r="B176" s="180"/>
      <c r="C176" s="12"/>
      <c r="D176" s="184"/>
      <c r="E176" s="144"/>
      <c r="F176" s="144"/>
      <c r="G176" s="144"/>
      <c r="H176" s="144"/>
      <c r="I176" s="144"/>
      <c r="J176" s="144"/>
      <c r="K176" s="162"/>
      <c r="L176" s="162"/>
      <c r="M176" s="162"/>
      <c r="N176" s="72">
        <f>2420000/1000</f>
        <v>2420</v>
      </c>
      <c r="O176" s="72">
        <f>1749947/1000</f>
        <v>1749.947</v>
      </c>
      <c r="P176" s="72">
        <f>582883/1000</f>
        <v>582.883</v>
      </c>
      <c r="Q176" s="72">
        <v>0</v>
      </c>
      <c r="R176" s="72">
        <v>0</v>
      </c>
      <c r="S176" s="72">
        <v>0</v>
      </c>
    </row>
    <row r="177" spans="1:19" s="2" customFormat="1" ht="86.25" customHeight="1">
      <c r="A177" s="53" t="s">
        <v>33</v>
      </c>
      <c r="B177" s="30" t="s">
        <v>34</v>
      </c>
      <c r="C177" s="16"/>
      <c r="D177" s="61"/>
      <c r="E177" s="7"/>
      <c r="F177" s="7"/>
      <c r="G177" s="7"/>
      <c r="H177" s="7"/>
      <c r="I177" s="7"/>
      <c r="J177" s="7"/>
      <c r="K177" s="7"/>
      <c r="L177" s="7"/>
      <c r="M177" s="7"/>
      <c r="N177" s="68">
        <f aca="true" t="shared" si="11" ref="N177:S177">SUM(N178:N181)</f>
        <v>3923.2429399999996</v>
      </c>
      <c r="O177" s="68">
        <f t="shared" si="11"/>
        <v>3560.2659</v>
      </c>
      <c r="P177" s="68">
        <f t="shared" si="11"/>
        <v>6175.400000000001</v>
      </c>
      <c r="Q177" s="68">
        <f t="shared" si="11"/>
        <v>4593.299999999999</v>
      </c>
      <c r="R177" s="68">
        <f t="shared" si="11"/>
        <v>3425.2</v>
      </c>
      <c r="S177" s="68">
        <f t="shared" si="11"/>
        <v>3582.6</v>
      </c>
    </row>
    <row r="178" spans="1:19" s="3" customFormat="1" ht="231.75" customHeight="1">
      <c r="A178" s="54"/>
      <c r="B178" s="11" t="s">
        <v>108</v>
      </c>
      <c r="C178" s="12"/>
      <c r="D178" s="61" t="s">
        <v>941</v>
      </c>
      <c r="E178" s="7" t="s">
        <v>47</v>
      </c>
      <c r="F178" s="7" t="s">
        <v>66</v>
      </c>
      <c r="G178" s="7" t="s">
        <v>48</v>
      </c>
      <c r="H178" s="7"/>
      <c r="I178" s="7"/>
      <c r="J178" s="7"/>
      <c r="K178" s="7" t="s">
        <v>1037</v>
      </c>
      <c r="L178" s="7" t="s">
        <v>223</v>
      </c>
      <c r="M178" s="7" t="s">
        <v>224</v>
      </c>
      <c r="N178" s="69">
        <f>2586035.94/1000</f>
        <v>2586.0359399999998</v>
      </c>
      <c r="O178" s="69">
        <f>2231083.81/1000</f>
        <v>2231.08381</v>
      </c>
      <c r="P178" s="69">
        <f>1960+915.1</f>
        <v>2875.1</v>
      </c>
      <c r="Q178" s="69">
        <v>3053.4</v>
      </c>
      <c r="R178" s="70">
        <v>3212.1</v>
      </c>
      <c r="S178" s="70">
        <v>3369.5</v>
      </c>
    </row>
    <row r="179" spans="1:19" s="3" customFormat="1" ht="114" customHeight="1">
      <c r="A179" s="54"/>
      <c r="B179" s="11" t="s">
        <v>696</v>
      </c>
      <c r="C179" s="12"/>
      <c r="D179" s="61" t="s">
        <v>942</v>
      </c>
      <c r="E179" s="7" t="s">
        <v>47</v>
      </c>
      <c r="F179" s="7" t="s">
        <v>66</v>
      </c>
      <c r="G179" s="7" t="s">
        <v>48</v>
      </c>
      <c r="H179" s="7"/>
      <c r="I179" s="7"/>
      <c r="J179" s="7"/>
      <c r="K179" s="7" t="s">
        <v>1039</v>
      </c>
      <c r="L179" s="7" t="s">
        <v>298</v>
      </c>
      <c r="M179" s="7" t="s">
        <v>408</v>
      </c>
      <c r="N179" s="69">
        <f>(1050000+99120)/1000</f>
        <v>1149.12</v>
      </c>
      <c r="O179" s="69">
        <f>1149116/1000</f>
        <v>1149.116</v>
      </c>
      <c r="P179" s="69">
        <v>3100</v>
      </c>
      <c r="Q179" s="69">
        <v>1330</v>
      </c>
      <c r="R179" s="70">
        <v>0</v>
      </c>
      <c r="S179" s="70">
        <v>0</v>
      </c>
    </row>
    <row r="180" spans="1:19" s="3" customFormat="1" ht="87.75" customHeight="1">
      <c r="A180" s="158"/>
      <c r="B180" s="149" t="s">
        <v>313</v>
      </c>
      <c r="C180" s="34"/>
      <c r="D180" s="152" t="s">
        <v>1038</v>
      </c>
      <c r="E180" s="142" t="s">
        <v>47</v>
      </c>
      <c r="F180" s="142" t="s">
        <v>66</v>
      </c>
      <c r="G180" s="142" t="s">
        <v>48</v>
      </c>
      <c r="H180" s="142" t="s">
        <v>527</v>
      </c>
      <c r="I180" s="142" t="s">
        <v>526</v>
      </c>
      <c r="J180" s="142" t="s">
        <v>528</v>
      </c>
      <c r="K180" s="43" t="s">
        <v>495</v>
      </c>
      <c r="L180" s="43" t="s">
        <v>496</v>
      </c>
      <c r="M180" s="43" t="s">
        <v>491</v>
      </c>
      <c r="N180" s="71">
        <f>188087/1000</f>
        <v>188.087</v>
      </c>
      <c r="O180" s="71">
        <f>180066.09/1000</f>
        <v>180.06609</v>
      </c>
      <c r="P180" s="71">
        <v>0</v>
      </c>
      <c r="Q180" s="71">
        <v>0</v>
      </c>
      <c r="R180" s="74">
        <v>0</v>
      </c>
      <c r="S180" s="74">
        <v>0</v>
      </c>
    </row>
    <row r="181" spans="1:19" s="3" customFormat="1" ht="63.75" customHeight="1">
      <c r="A181" s="159"/>
      <c r="B181" s="151"/>
      <c r="C181" s="35"/>
      <c r="D181" s="154"/>
      <c r="E181" s="144"/>
      <c r="F181" s="144"/>
      <c r="G181" s="144"/>
      <c r="H181" s="144"/>
      <c r="I181" s="144"/>
      <c r="J181" s="144"/>
      <c r="K181" s="44" t="s">
        <v>943</v>
      </c>
      <c r="L181" s="44" t="s">
        <v>922</v>
      </c>
      <c r="M181" s="44" t="s">
        <v>919</v>
      </c>
      <c r="N181" s="77">
        <v>0</v>
      </c>
      <c r="O181" s="77">
        <v>0</v>
      </c>
      <c r="P181" s="77">
        <v>200.3</v>
      </c>
      <c r="Q181" s="77">
        <v>209.9</v>
      </c>
      <c r="R181" s="79">
        <v>213.1</v>
      </c>
      <c r="S181" s="79">
        <v>213.1</v>
      </c>
    </row>
    <row r="182" spans="1:19" s="2" customFormat="1" ht="37.5" customHeight="1">
      <c r="A182" s="53" t="s">
        <v>115</v>
      </c>
      <c r="B182" s="30" t="s">
        <v>148</v>
      </c>
      <c r="C182" s="16"/>
      <c r="D182" s="61" t="s">
        <v>182</v>
      </c>
      <c r="E182" s="7"/>
      <c r="F182" s="7"/>
      <c r="G182" s="7"/>
      <c r="H182" s="7"/>
      <c r="I182" s="7"/>
      <c r="J182" s="7"/>
      <c r="K182" s="7"/>
      <c r="L182" s="7"/>
      <c r="M182" s="7"/>
      <c r="N182" s="68">
        <f aca="true" t="shared" si="12" ref="N182:S182">SUM(N183:N187)</f>
        <v>1071.9</v>
      </c>
      <c r="O182" s="68">
        <f t="shared" si="12"/>
        <v>1051.565</v>
      </c>
      <c r="P182" s="68">
        <f t="shared" si="12"/>
        <v>966.086</v>
      </c>
      <c r="Q182" s="68">
        <f t="shared" si="12"/>
        <v>708.5</v>
      </c>
      <c r="R182" s="68">
        <f t="shared" si="12"/>
        <v>745.3</v>
      </c>
      <c r="S182" s="68">
        <f t="shared" si="12"/>
        <v>781.8</v>
      </c>
    </row>
    <row r="183" spans="1:19" s="3" customFormat="1" ht="45.75" customHeight="1">
      <c r="A183" s="158"/>
      <c r="B183" s="149" t="s">
        <v>373</v>
      </c>
      <c r="C183" s="12"/>
      <c r="D183" s="62" t="s">
        <v>364</v>
      </c>
      <c r="E183" s="142" t="s">
        <v>530</v>
      </c>
      <c r="F183" s="142" t="s">
        <v>67</v>
      </c>
      <c r="G183" s="142" t="s">
        <v>48</v>
      </c>
      <c r="H183" s="142" t="s">
        <v>529</v>
      </c>
      <c r="I183" s="142" t="s">
        <v>531</v>
      </c>
      <c r="J183" s="142" t="s">
        <v>532</v>
      </c>
      <c r="K183" s="142" t="s">
        <v>869</v>
      </c>
      <c r="L183" s="142" t="s">
        <v>298</v>
      </c>
      <c r="M183" s="142" t="s">
        <v>220</v>
      </c>
      <c r="N183" s="71">
        <f>24000/1000</f>
        <v>24</v>
      </c>
      <c r="O183" s="71">
        <f>24000/1000</f>
        <v>24</v>
      </c>
      <c r="P183" s="71">
        <v>89</v>
      </c>
      <c r="Q183" s="71">
        <v>0</v>
      </c>
      <c r="R183" s="74">
        <v>0</v>
      </c>
      <c r="S183" s="74">
        <v>0</v>
      </c>
    </row>
    <row r="184" spans="1:19" s="3" customFormat="1" ht="45.75" customHeight="1">
      <c r="A184" s="159"/>
      <c r="B184" s="151"/>
      <c r="C184" s="34"/>
      <c r="D184" s="65" t="s">
        <v>22</v>
      </c>
      <c r="E184" s="144"/>
      <c r="F184" s="144"/>
      <c r="G184" s="144"/>
      <c r="H184" s="144"/>
      <c r="I184" s="144"/>
      <c r="J184" s="144"/>
      <c r="K184" s="144"/>
      <c r="L184" s="144"/>
      <c r="M184" s="144"/>
      <c r="N184" s="77">
        <f>180000/1000</f>
        <v>180</v>
      </c>
      <c r="O184" s="77">
        <f>180000/1000</f>
        <v>180</v>
      </c>
      <c r="P184" s="77">
        <v>210</v>
      </c>
      <c r="Q184" s="77">
        <v>0</v>
      </c>
      <c r="R184" s="79">
        <v>0</v>
      </c>
      <c r="S184" s="79">
        <v>0</v>
      </c>
    </row>
    <row r="185" spans="1:19" s="3" customFormat="1" ht="72" customHeight="1">
      <c r="A185" s="54"/>
      <c r="B185" s="11" t="s">
        <v>60</v>
      </c>
      <c r="C185" s="12"/>
      <c r="D185" s="61" t="s">
        <v>182</v>
      </c>
      <c r="E185" s="7" t="s">
        <v>47</v>
      </c>
      <c r="F185" s="7" t="s">
        <v>67</v>
      </c>
      <c r="G185" s="7" t="s">
        <v>48</v>
      </c>
      <c r="H185" s="7"/>
      <c r="I185" s="7"/>
      <c r="J185" s="7"/>
      <c r="K185" s="7" t="s">
        <v>913</v>
      </c>
      <c r="L185" s="7" t="s">
        <v>53</v>
      </c>
      <c r="M185" s="7" t="s">
        <v>107</v>
      </c>
      <c r="N185" s="69">
        <f>251000/1000</f>
        <v>251</v>
      </c>
      <c r="O185" s="69">
        <f>250690/1000</f>
        <v>250.69</v>
      </c>
      <c r="P185" s="69">
        <v>401.5</v>
      </c>
      <c r="Q185" s="69">
        <v>426.4</v>
      </c>
      <c r="R185" s="69">
        <v>448.6</v>
      </c>
      <c r="S185" s="69">
        <v>470.5</v>
      </c>
    </row>
    <row r="186" spans="1:19" s="6" customFormat="1" ht="84" customHeight="1">
      <c r="A186" s="53"/>
      <c r="B186" s="11" t="s">
        <v>375</v>
      </c>
      <c r="C186" s="12"/>
      <c r="D186" s="61" t="s">
        <v>903</v>
      </c>
      <c r="E186" s="7" t="s">
        <v>533</v>
      </c>
      <c r="F186" s="7" t="s">
        <v>534</v>
      </c>
      <c r="G186" s="7" t="s">
        <v>535</v>
      </c>
      <c r="H186" s="7" t="s">
        <v>536</v>
      </c>
      <c r="I186" s="7" t="s">
        <v>298</v>
      </c>
      <c r="J186" s="7" t="s">
        <v>537</v>
      </c>
      <c r="K186" s="45" t="s">
        <v>868</v>
      </c>
      <c r="L186" s="45" t="s">
        <v>238</v>
      </c>
      <c r="M186" s="7" t="s">
        <v>654</v>
      </c>
      <c r="N186" s="69">
        <f>250000/1000</f>
        <v>250</v>
      </c>
      <c r="O186" s="69">
        <f>229975/1000</f>
        <v>229.975</v>
      </c>
      <c r="P186" s="69">
        <v>0</v>
      </c>
      <c r="Q186" s="69">
        <v>0</v>
      </c>
      <c r="R186" s="69">
        <v>0</v>
      </c>
      <c r="S186" s="69">
        <v>0</v>
      </c>
    </row>
    <row r="187" spans="1:19" s="3" customFormat="1" ht="61.5" customHeight="1">
      <c r="A187" s="54"/>
      <c r="B187" s="11" t="s">
        <v>331</v>
      </c>
      <c r="C187" s="12"/>
      <c r="D187" s="61" t="s">
        <v>364</v>
      </c>
      <c r="E187" s="7" t="s">
        <v>47</v>
      </c>
      <c r="F187" s="7" t="s">
        <v>15</v>
      </c>
      <c r="G187" s="7" t="s">
        <v>48</v>
      </c>
      <c r="H187" s="7"/>
      <c r="I187" s="7"/>
      <c r="J187" s="7"/>
      <c r="K187" s="45" t="s">
        <v>867</v>
      </c>
      <c r="L187" s="45" t="s">
        <v>245</v>
      </c>
      <c r="M187" s="45" t="s">
        <v>469</v>
      </c>
      <c r="N187" s="69">
        <f>366900/1000</f>
        <v>366.9</v>
      </c>
      <c r="O187" s="69">
        <f>366900/1000</f>
        <v>366.9</v>
      </c>
      <c r="P187" s="69">
        <v>265.586</v>
      </c>
      <c r="Q187" s="69">
        <v>282.1</v>
      </c>
      <c r="R187" s="70">
        <v>296.7</v>
      </c>
      <c r="S187" s="70">
        <v>311.3</v>
      </c>
    </row>
    <row r="188" spans="1:19" s="2" customFormat="1" ht="95.25" customHeight="1">
      <c r="A188" s="53" t="s">
        <v>286</v>
      </c>
      <c r="B188" s="30" t="s">
        <v>49</v>
      </c>
      <c r="C188" s="16"/>
      <c r="D188" s="61"/>
      <c r="E188" s="7"/>
      <c r="F188" s="7"/>
      <c r="G188" s="7"/>
      <c r="H188" s="7"/>
      <c r="I188" s="7"/>
      <c r="J188" s="7"/>
      <c r="K188" s="7"/>
      <c r="L188" s="7"/>
      <c r="M188" s="7"/>
      <c r="N188" s="69"/>
      <c r="O188" s="69"/>
      <c r="P188" s="69"/>
      <c r="Q188" s="75"/>
      <c r="R188" s="97"/>
      <c r="S188" s="97"/>
    </row>
    <row r="189" spans="1:19" s="2" customFormat="1" ht="95.25" customHeight="1">
      <c r="A189" s="53" t="s">
        <v>1055</v>
      </c>
      <c r="B189" s="30" t="s">
        <v>1056</v>
      </c>
      <c r="C189" s="16"/>
      <c r="D189" s="61"/>
      <c r="E189" s="7"/>
      <c r="F189" s="7"/>
      <c r="G189" s="7"/>
      <c r="H189" s="7"/>
      <c r="I189" s="7"/>
      <c r="J189" s="7"/>
      <c r="K189" s="7"/>
      <c r="L189" s="7"/>
      <c r="M189" s="7"/>
      <c r="N189" s="69"/>
      <c r="O189" s="69"/>
      <c r="P189" s="68">
        <f>SUM(P190:P193)</f>
        <v>222.82578</v>
      </c>
      <c r="Q189" s="68">
        <f>SUM(Q190:Q193)</f>
        <v>212.4</v>
      </c>
      <c r="R189" s="68">
        <f>SUM(R190:R193)</f>
        <v>223.4</v>
      </c>
      <c r="S189" s="68">
        <f>SUM(S190:S193)</f>
        <v>234.4</v>
      </c>
    </row>
    <row r="190" spans="1:19" s="3" customFormat="1" ht="72.75" customHeight="1">
      <c r="A190" s="54"/>
      <c r="B190" s="11" t="s">
        <v>915</v>
      </c>
      <c r="C190" s="12"/>
      <c r="D190" s="61" t="s">
        <v>244</v>
      </c>
      <c r="E190" s="7" t="s">
        <v>47</v>
      </c>
      <c r="F190" s="7" t="s">
        <v>15</v>
      </c>
      <c r="G190" s="10" t="s">
        <v>242</v>
      </c>
      <c r="H190" s="7" t="s">
        <v>301</v>
      </c>
      <c r="I190" s="7" t="s">
        <v>257</v>
      </c>
      <c r="J190" s="7" t="s">
        <v>46</v>
      </c>
      <c r="K190" s="7" t="s">
        <v>916</v>
      </c>
      <c r="L190" s="7" t="s">
        <v>141</v>
      </c>
      <c r="M190" s="7" t="s">
        <v>46</v>
      </c>
      <c r="N190" s="69">
        <f>193000/1000</f>
        <v>193</v>
      </c>
      <c r="O190" s="69">
        <f>187163.2/1000</f>
        <v>187.16320000000002</v>
      </c>
      <c r="P190" s="69">
        <v>200</v>
      </c>
      <c r="Q190" s="69">
        <v>212.4</v>
      </c>
      <c r="R190" s="70">
        <v>223.4</v>
      </c>
      <c r="S190" s="70">
        <v>234.4</v>
      </c>
    </row>
    <row r="191" spans="1:19" s="3" customFormat="1" ht="72.75" customHeight="1">
      <c r="A191" s="158"/>
      <c r="B191" s="163" t="s">
        <v>689</v>
      </c>
      <c r="C191" s="12"/>
      <c r="D191" s="152" t="s">
        <v>138</v>
      </c>
      <c r="E191" s="142" t="s">
        <v>47</v>
      </c>
      <c r="F191" s="142" t="s">
        <v>15</v>
      </c>
      <c r="G191" s="142" t="s">
        <v>48</v>
      </c>
      <c r="H191" s="142" t="s">
        <v>714</v>
      </c>
      <c r="I191" s="142" t="s">
        <v>715</v>
      </c>
      <c r="J191" s="146" t="s">
        <v>716</v>
      </c>
      <c r="K191" s="43" t="s">
        <v>691</v>
      </c>
      <c r="L191" s="43" t="s">
        <v>17</v>
      </c>
      <c r="M191" s="91" t="s">
        <v>692</v>
      </c>
      <c r="N191" s="137">
        <f>3310000/1000</f>
        <v>3310</v>
      </c>
      <c r="O191" s="137">
        <f>3287174.22/1000</f>
        <v>3287.1742200000003</v>
      </c>
      <c r="P191" s="137">
        <v>0</v>
      </c>
      <c r="Q191" s="137">
        <v>0</v>
      </c>
      <c r="R191" s="139">
        <v>0</v>
      </c>
      <c r="S191" s="139">
        <v>0</v>
      </c>
    </row>
    <row r="192" spans="1:19" s="3" customFormat="1" ht="66" customHeight="1">
      <c r="A192" s="160"/>
      <c r="B192" s="164"/>
      <c r="C192" s="12"/>
      <c r="D192" s="153"/>
      <c r="E192" s="143"/>
      <c r="F192" s="143"/>
      <c r="G192" s="143"/>
      <c r="H192" s="143"/>
      <c r="I192" s="143"/>
      <c r="J192" s="147"/>
      <c r="K192" s="128" t="s">
        <v>693</v>
      </c>
      <c r="L192" s="128" t="s">
        <v>298</v>
      </c>
      <c r="M192" s="134" t="s">
        <v>694</v>
      </c>
      <c r="N192" s="141"/>
      <c r="O192" s="141"/>
      <c r="P192" s="141"/>
      <c r="Q192" s="141"/>
      <c r="R192" s="145"/>
      <c r="S192" s="145"/>
    </row>
    <row r="193" spans="1:19" s="3" customFormat="1" ht="120.75" customHeight="1">
      <c r="A193" s="159"/>
      <c r="B193" s="165"/>
      <c r="C193" s="12"/>
      <c r="D193" s="154"/>
      <c r="E193" s="144"/>
      <c r="F193" s="144"/>
      <c r="G193" s="144"/>
      <c r="H193" s="144"/>
      <c r="I193" s="144"/>
      <c r="J193" s="148"/>
      <c r="K193" s="44" t="s">
        <v>1031</v>
      </c>
      <c r="L193" s="44" t="s">
        <v>238</v>
      </c>
      <c r="M193" s="92" t="s">
        <v>1032</v>
      </c>
      <c r="N193" s="77">
        <v>0</v>
      </c>
      <c r="O193" s="77">
        <v>0</v>
      </c>
      <c r="P193" s="77">
        <v>22.82578</v>
      </c>
      <c r="Q193" s="77">
        <v>0</v>
      </c>
      <c r="R193" s="79">
        <v>0</v>
      </c>
      <c r="S193" s="79">
        <v>0</v>
      </c>
    </row>
    <row r="194" spans="1:19" s="2" customFormat="1" ht="95.25" customHeight="1">
      <c r="A194" s="53" t="s">
        <v>1055</v>
      </c>
      <c r="B194" s="30" t="s">
        <v>1056</v>
      </c>
      <c r="C194" s="16"/>
      <c r="D194" s="61"/>
      <c r="E194" s="7"/>
      <c r="F194" s="7"/>
      <c r="G194" s="7"/>
      <c r="H194" s="7"/>
      <c r="I194" s="7"/>
      <c r="J194" s="7"/>
      <c r="K194" s="7"/>
      <c r="L194" s="7"/>
      <c r="M194" s="7"/>
      <c r="N194" s="69"/>
      <c r="O194" s="69"/>
      <c r="P194" s="68">
        <f>SUM(P195:P197)</f>
        <v>2775.0279</v>
      </c>
      <c r="Q194" s="68">
        <f>SUM(Q195:Q197)</f>
        <v>0</v>
      </c>
      <c r="R194" s="68">
        <f>SUM(R195:R197)</f>
        <v>0</v>
      </c>
      <c r="S194" s="68">
        <f>SUM(S195:S197)</f>
        <v>0</v>
      </c>
    </row>
    <row r="195" spans="1:19" s="3" customFormat="1" ht="98.25" customHeight="1">
      <c r="A195" s="54"/>
      <c r="B195" s="47" t="s">
        <v>1006</v>
      </c>
      <c r="C195" s="12"/>
      <c r="D195" s="61" t="s">
        <v>364</v>
      </c>
      <c r="E195" s="7" t="s">
        <v>47</v>
      </c>
      <c r="F195" s="7" t="s">
        <v>15</v>
      </c>
      <c r="G195" s="10" t="s">
        <v>242</v>
      </c>
      <c r="H195" s="7" t="s">
        <v>876</v>
      </c>
      <c r="I195" s="7" t="s">
        <v>298</v>
      </c>
      <c r="J195" s="7" t="s">
        <v>889</v>
      </c>
      <c r="K195" s="45" t="s">
        <v>770</v>
      </c>
      <c r="L195" s="45" t="s">
        <v>298</v>
      </c>
      <c r="M195" s="45" t="s">
        <v>771</v>
      </c>
      <c r="N195" s="69"/>
      <c r="O195" s="69"/>
      <c r="P195" s="69">
        <f>7027.9/1000</f>
        <v>7.0279</v>
      </c>
      <c r="Q195" s="69">
        <v>0</v>
      </c>
      <c r="R195" s="70">
        <v>0</v>
      </c>
      <c r="S195" s="70">
        <v>0</v>
      </c>
    </row>
    <row r="196" spans="1:19" s="3" customFormat="1" ht="102" customHeight="1">
      <c r="A196" s="57"/>
      <c r="B196" s="47" t="s">
        <v>1024</v>
      </c>
      <c r="C196" s="12"/>
      <c r="D196" s="124" t="s">
        <v>22</v>
      </c>
      <c r="E196" s="36" t="s">
        <v>47</v>
      </c>
      <c r="F196" s="36" t="s">
        <v>326</v>
      </c>
      <c r="G196" s="36" t="s">
        <v>48</v>
      </c>
      <c r="H196" s="7" t="s">
        <v>876</v>
      </c>
      <c r="I196" s="7" t="s">
        <v>298</v>
      </c>
      <c r="J196" s="7" t="s">
        <v>889</v>
      </c>
      <c r="K196" s="45" t="s">
        <v>1025</v>
      </c>
      <c r="L196" s="45" t="s">
        <v>238</v>
      </c>
      <c r="M196" s="45" t="s">
        <v>1026</v>
      </c>
      <c r="N196" s="69"/>
      <c r="O196" s="69"/>
      <c r="P196" s="77">
        <v>2768</v>
      </c>
      <c r="Q196" s="77">
        <v>0</v>
      </c>
      <c r="R196" s="79">
        <v>0</v>
      </c>
      <c r="S196" s="79">
        <v>0</v>
      </c>
    </row>
    <row r="197" spans="1:19" s="3" customFormat="1" ht="99.75" customHeight="1">
      <c r="A197" s="54"/>
      <c r="B197" s="11" t="s">
        <v>769</v>
      </c>
      <c r="C197" s="12"/>
      <c r="D197" s="61" t="s">
        <v>364</v>
      </c>
      <c r="E197" s="7" t="s">
        <v>47</v>
      </c>
      <c r="F197" s="7" t="s">
        <v>15</v>
      </c>
      <c r="G197" s="10" t="s">
        <v>242</v>
      </c>
      <c r="H197" s="7" t="s">
        <v>876</v>
      </c>
      <c r="I197" s="7" t="s">
        <v>298</v>
      </c>
      <c r="J197" s="7" t="s">
        <v>889</v>
      </c>
      <c r="K197" s="45" t="s">
        <v>770</v>
      </c>
      <c r="L197" s="45" t="s">
        <v>298</v>
      </c>
      <c r="M197" s="45" t="s">
        <v>771</v>
      </c>
      <c r="N197" s="69">
        <f>10000/1000</f>
        <v>10</v>
      </c>
      <c r="O197" s="69">
        <v>0</v>
      </c>
      <c r="P197" s="69">
        <v>0</v>
      </c>
      <c r="Q197" s="69">
        <v>0</v>
      </c>
      <c r="R197" s="70">
        <v>0</v>
      </c>
      <c r="S197" s="70">
        <v>0</v>
      </c>
    </row>
    <row r="198" spans="1:19" s="2" customFormat="1" ht="72.75" customHeight="1">
      <c r="A198" s="53" t="s">
        <v>173</v>
      </c>
      <c r="B198" s="30" t="s">
        <v>45</v>
      </c>
      <c r="C198" s="16"/>
      <c r="D198" s="61"/>
      <c r="E198" s="7"/>
      <c r="F198" s="7"/>
      <c r="G198" s="7"/>
      <c r="H198" s="7"/>
      <c r="I198" s="7"/>
      <c r="J198" s="7"/>
      <c r="K198" s="7"/>
      <c r="L198" s="7"/>
      <c r="M198" s="7"/>
      <c r="N198" s="69"/>
      <c r="O198" s="69"/>
      <c r="P198" s="69"/>
      <c r="Q198" s="75"/>
      <c r="R198" s="97"/>
      <c r="S198" s="97"/>
    </row>
    <row r="199" spans="1:19" s="2" customFormat="1" ht="85.5" customHeight="1">
      <c r="A199" s="53" t="s">
        <v>216</v>
      </c>
      <c r="B199" s="30" t="s">
        <v>10</v>
      </c>
      <c r="C199" s="16"/>
      <c r="D199" s="61"/>
      <c r="E199" s="7"/>
      <c r="F199" s="7"/>
      <c r="G199" s="7"/>
      <c r="H199" s="7"/>
      <c r="I199" s="7"/>
      <c r="J199" s="7"/>
      <c r="K199" s="7"/>
      <c r="L199" s="7"/>
      <c r="M199" s="7"/>
      <c r="N199" s="68">
        <f>SUM(N200:N259)</f>
        <v>330751.804</v>
      </c>
      <c r="O199" s="68">
        <f>SUM(O200:O259)</f>
        <v>315070.28560000006</v>
      </c>
      <c r="P199" s="68">
        <f>SUM(P200:P259)</f>
        <v>422482.59300000005</v>
      </c>
      <c r="Q199" s="68">
        <f>SUM(Q200:Q256)</f>
        <v>419972.00000000006</v>
      </c>
      <c r="R199" s="68">
        <f>SUM(R200:R256)</f>
        <v>424012.39999999997</v>
      </c>
      <c r="S199" s="68">
        <f>SUM(S200:S256)</f>
        <v>424012.39999999997</v>
      </c>
    </row>
    <row r="200" spans="1:19" s="3" customFormat="1" ht="71.25" customHeight="1">
      <c r="A200" s="158" t="s">
        <v>420</v>
      </c>
      <c r="B200" s="149" t="s">
        <v>382</v>
      </c>
      <c r="C200" s="16"/>
      <c r="D200" s="152" t="s">
        <v>244</v>
      </c>
      <c r="E200" s="142" t="s">
        <v>543</v>
      </c>
      <c r="F200" s="142" t="s">
        <v>194</v>
      </c>
      <c r="G200" s="142" t="s">
        <v>330</v>
      </c>
      <c r="H200" s="142" t="s">
        <v>544</v>
      </c>
      <c r="I200" s="142" t="s">
        <v>538</v>
      </c>
      <c r="J200" s="142" t="s">
        <v>539</v>
      </c>
      <c r="K200" s="36" t="s">
        <v>944</v>
      </c>
      <c r="L200" s="36" t="s">
        <v>298</v>
      </c>
      <c r="M200" s="36" t="s">
        <v>963</v>
      </c>
      <c r="N200" s="137">
        <f>854000/1000</f>
        <v>854</v>
      </c>
      <c r="O200" s="137">
        <f>854000/1000</f>
        <v>854</v>
      </c>
      <c r="P200" s="137">
        <v>886</v>
      </c>
      <c r="Q200" s="137">
        <v>925</v>
      </c>
      <c r="R200" s="139">
        <v>925</v>
      </c>
      <c r="S200" s="139">
        <v>925</v>
      </c>
    </row>
    <row r="201" spans="1:19" s="3" customFormat="1" ht="99.75" customHeight="1">
      <c r="A201" s="159"/>
      <c r="B201" s="151"/>
      <c r="C201" s="16"/>
      <c r="D201" s="154"/>
      <c r="E201" s="144"/>
      <c r="F201" s="144"/>
      <c r="G201" s="144"/>
      <c r="H201" s="144"/>
      <c r="I201" s="144"/>
      <c r="J201" s="144"/>
      <c r="K201" s="38" t="s">
        <v>964</v>
      </c>
      <c r="L201" s="38" t="s">
        <v>298</v>
      </c>
      <c r="M201" s="38" t="s">
        <v>965</v>
      </c>
      <c r="N201" s="138"/>
      <c r="O201" s="138"/>
      <c r="P201" s="138"/>
      <c r="Q201" s="138"/>
      <c r="R201" s="140"/>
      <c r="S201" s="140"/>
    </row>
    <row r="202" spans="1:19" s="3" customFormat="1" ht="109.5" customHeight="1">
      <c r="A202" s="158" t="s">
        <v>421</v>
      </c>
      <c r="B202" s="149" t="s">
        <v>389</v>
      </c>
      <c r="C202" s="12"/>
      <c r="D202" s="152" t="s">
        <v>244</v>
      </c>
      <c r="E202" s="142" t="s">
        <v>540</v>
      </c>
      <c r="F202" s="142" t="s">
        <v>541</v>
      </c>
      <c r="G202" s="142" t="s">
        <v>542</v>
      </c>
      <c r="H202" s="142" t="s">
        <v>545</v>
      </c>
      <c r="I202" s="142" t="s">
        <v>255</v>
      </c>
      <c r="J202" s="142" t="s">
        <v>256</v>
      </c>
      <c r="K202" s="36" t="s">
        <v>966</v>
      </c>
      <c r="L202" s="118" t="s">
        <v>358</v>
      </c>
      <c r="M202" s="118" t="s">
        <v>390</v>
      </c>
      <c r="N202" s="137">
        <f>123000/1000</f>
        <v>123</v>
      </c>
      <c r="O202" s="137">
        <f>123000/1000</f>
        <v>123</v>
      </c>
      <c r="P202" s="137">
        <v>128</v>
      </c>
      <c r="Q202" s="137">
        <v>134</v>
      </c>
      <c r="R202" s="139">
        <v>134</v>
      </c>
      <c r="S202" s="139">
        <v>134</v>
      </c>
    </row>
    <row r="203" spans="1:19" s="3" customFormat="1" ht="72.75" customHeight="1">
      <c r="A203" s="159"/>
      <c r="B203" s="151"/>
      <c r="C203" s="12"/>
      <c r="D203" s="154"/>
      <c r="E203" s="144"/>
      <c r="F203" s="144"/>
      <c r="G203" s="144"/>
      <c r="H203" s="144"/>
      <c r="I203" s="144"/>
      <c r="J203" s="144"/>
      <c r="K203" s="38" t="s">
        <v>944</v>
      </c>
      <c r="L203" s="38" t="s">
        <v>298</v>
      </c>
      <c r="M203" s="38" t="s">
        <v>963</v>
      </c>
      <c r="N203" s="138"/>
      <c r="O203" s="138"/>
      <c r="P203" s="138"/>
      <c r="Q203" s="138"/>
      <c r="R203" s="140"/>
      <c r="S203" s="140"/>
    </row>
    <row r="204" spans="1:19" s="3" customFormat="1" ht="50.25" customHeight="1" hidden="1">
      <c r="A204" s="54" t="s">
        <v>422</v>
      </c>
      <c r="B204" s="11" t="s">
        <v>423</v>
      </c>
      <c r="C204" s="12"/>
      <c r="D204" s="61"/>
      <c r="E204" s="7"/>
      <c r="F204" s="7"/>
      <c r="G204" s="7"/>
      <c r="H204" s="7"/>
      <c r="I204" s="7"/>
      <c r="J204" s="7"/>
      <c r="K204" s="7"/>
      <c r="L204" s="10"/>
      <c r="M204" s="10"/>
      <c r="N204" s="71"/>
      <c r="O204" s="71"/>
      <c r="P204" s="71"/>
      <c r="Q204" s="71"/>
      <c r="R204" s="74"/>
      <c r="S204" s="74"/>
    </row>
    <row r="205" spans="1:19" s="3" customFormat="1" ht="33" customHeight="1">
      <c r="A205" s="158" t="s">
        <v>424</v>
      </c>
      <c r="B205" s="149" t="s">
        <v>425</v>
      </c>
      <c r="C205" s="12"/>
      <c r="D205" s="152" t="s">
        <v>251</v>
      </c>
      <c r="E205" s="142" t="s">
        <v>546</v>
      </c>
      <c r="F205" s="142" t="s">
        <v>78</v>
      </c>
      <c r="G205" s="142" t="s">
        <v>547</v>
      </c>
      <c r="H205" s="142" t="s">
        <v>548</v>
      </c>
      <c r="I205" s="142" t="s">
        <v>549</v>
      </c>
      <c r="J205" s="142" t="s">
        <v>256</v>
      </c>
      <c r="K205" s="142" t="s">
        <v>967</v>
      </c>
      <c r="L205" s="146" t="s">
        <v>392</v>
      </c>
      <c r="M205" s="146" t="s">
        <v>348</v>
      </c>
      <c r="N205" s="71">
        <f>7137000/1000</f>
        <v>7137</v>
      </c>
      <c r="O205" s="71">
        <f>6797480.52/1000</f>
        <v>6797.480519999999</v>
      </c>
      <c r="P205" s="137">
        <f>(15715700+9972000+16410500)/1000</f>
        <v>42098.2</v>
      </c>
      <c r="Q205" s="137">
        <f>(6903+30113.8)</f>
        <v>37016.8</v>
      </c>
      <c r="R205" s="139">
        <f>(8715+35896.5)</f>
        <v>44611.5</v>
      </c>
      <c r="S205" s="139">
        <f>(8715+35896.5)</f>
        <v>44611.5</v>
      </c>
    </row>
    <row r="206" spans="1:19" s="3" customFormat="1" ht="33" customHeight="1">
      <c r="A206" s="160"/>
      <c r="B206" s="150"/>
      <c r="C206" s="12"/>
      <c r="D206" s="153"/>
      <c r="E206" s="143"/>
      <c r="F206" s="143"/>
      <c r="G206" s="143"/>
      <c r="H206" s="143"/>
      <c r="I206" s="143"/>
      <c r="J206" s="143"/>
      <c r="K206" s="143"/>
      <c r="L206" s="147"/>
      <c r="M206" s="147"/>
      <c r="N206" s="72">
        <f>9612000/1000</f>
        <v>9612</v>
      </c>
      <c r="O206" s="72">
        <f>9134292.81/1000</f>
        <v>9134.29281</v>
      </c>
      <c r="P206" s="141"/>
      <c r="Q206" s="141"/>
      <c r="R206" s="145"/>
      <c r="S206" s="145"/>
    </row>
    <row r="207" spans="1:19" s="3" customFormat="1" ht="33" customHeight="1">
      <c r="A207" s="160"/>
      <c r="B207" s="150"/>
      <c r="C207" s="12"/>
      <c r="D207" s="153"/>
      <c r="E207" s="143"/>
      <c r="F207" s="143"/>
      <c r="G207" s="143"/>
      <c r="H207" s="143"/>
      <c r="I207" s="143"/>
      <c r="J207" s="143"/>
      <c r="K207" s="143"/>
      <c r="L207" s="147"/>
      <c r="M207" s="147"/>
      <c r="N207" s="72">
        <f>2175400/1000</f>
        <v>2175.4</v>
      </c>
      <c r="O207" s="72">
        <f>2175400/1000</f>
        <v>2175.4</v>
      </c>
      <c r="P207" s="141"/>
      <c r="Q207" s="141"/>
      <c r="R207" s="145"/>
      <c r="S207" s="145"/>
    </row>
    <row r="208" spans="1:19" s="3" customFormat="1" ht="24" customHeight="1">
      <c r="A208" s="160"/>
      <c r="B208" s="150"/>
      <c r="C208" s="12"/>
      <c r="D208" s="153"/>
      <c r="E208" s="143"/>
      <c r="F208" s="143"/>
      <c r="G208" s="143"/>
      <c r="H208" s="143"/>
      <c r="I208" s="143"/>
      <c r="J208" s="143"/>
      <c r="K208" s="143" t="s">
        <v>944</v>
      </c>
      <c r="L208" s="143" t="s">
        <v>298</v>
      </c>
      <c r="M208" s="143" t="s">
        <v>963</v>
      </c>
      <c r="N208" s="72">
        <f>4508000/1000</f>
        <v>4508</v>
      </c>
      <c r="O208" s="72">
        <f>4508000/1000</f>
        <v>4508</v>
      </c>
      <c r="P208" s="141"/>
      <c r="Q208" s="141"/>
      <c r="R208" s="145"/>
      <c r="S208" s="145"/>
    </row>
    <row r="209" spans="1:19" s="3" customFormat="1" ht="24" customHeight="1">
      <c r="A209" s="160"/>
      <c r="B209" s="150"/>
      <c r="C209" s="12"/>
      <c r="D209" s="153"/>
      <c r="E209" s="143"/>
      <c r="F209" s="143"/>
      <c r="G209" s="143"/>
      <c r="H209" s="143"/>
      <c r="I209" s="143"/>
      <c r="J209" s="143"/>
      <c r="K209" s="143"/>
      <c r="L209" s="143"/>
      <c r="M209" s="143"/>
      <c r="N209" s="72">
        <f>11524000/1000</f>
        <v>11524</v>
      </c>
      <c r="O209" s="72">
        <f>10523227.25/1000</f>
        <v>10523.22725</v>
      </c>
      <c r="P209" s="141"/>
      <c r="Q209" s="141"/>
      <c r="R209" s="145"/>
      <c r="S209" s="145"/>
    </row>
    <row r="210" spans="1:19" s="3" customFormat="1" ht="24" customHeight="1">
      <c r="A210" s="159"/>
      <c r="B210" s="151"/>
      <c r="C210" s="12"/>
      <c r="D210" s="154"/>
      <c r="E210" s="144"/>
      <c r="F210" s="144"/>
      <c r="G210" s="144"/>
      <c r="H210" s="144"/>
      <c r="I210" s="144"/>
      <c r="J210" s="144"/>
      <c r="K210" s="144"/>
      <c r="L210" s="144"/>
      <c r="M210" s="144"/>
      <c r="N210" s="77">
        <f>4713700/1000</f>
        <v>4713.7</v>
      </c>
      <c r="O210" s="77">
        <f>4713700/1000</f>
        <v>4713.7</v>
      </c>
      <c r="P210" s="138"/>
      <c r="Q210" s="138"/>
      <c r="R210" s="140"/>
      <c r="S210" s="140"/>
    </row>
    <row r="211" spans="1:19" s="3" customFormat="1" ht="83.25" customHeight="1">
      <c r="A211" s="158" t="s">
        <v>426</v>
      </c>
      <c r="B211" s="149" t="s">
        <v>366</v>
      </c>
      <c r="C211" s="12"/>
      <c r="D211" s="152" t="s">
        <v>376</v>
      </c>
      <c r="E211" s="142" t="s">
        <v>47</v>
      </c>
      <c r="F211" s="142" t="s">
        <v>65</v>
      </c>
      <c r="G211" s="142" t="s">
        <v>48</v>
      </c>
      <c r="H211" s="142" t="s">
        <v>550</v>
      </c>
      <c r="I211" s="142" t="s">
        <v>121</v>
      </c>
      <c r="J211" s="142" t="s">
        <v>256</v>
      </c>
      <c r="K211" s="36" t="s">
        <v>968</v>
      </c>
      <c r="L211" s="118" t="s">
        <v>238</v>
      </c>
      <c r="M211" s="118" t="s">
        <v>386</v>
      </c>
      <c r="N211" s="137">
        <f>21158000/1000</f>
        <v>21158</v>
      </c>
      <c r="O211" s="137">
        <v>21158</v>
      </c>
      <c r="P211" s="137">
        <v>25133</v>
      </c>
      <c r="Q211" s="137">
        <v>27208</v>
      </c>
      <c r="R211" s="139">
        <v>29181</v>
      </c>
      <c r="S211" s="139">
        <v>29181</v>
      </c>
    </row>
    <row r="212" spans="1:19" s="3" customFormat="1" ht="75.75" customHeight="1">
      <c r="A212" s="159"/>
      <c r="B212" s="151"/>
      <c r="C212" s="12"/>
      <c r="D212" s="154"/>
      <c r="E212" s="144"/>
      <c r="F212" s="144"/>
      <c r="G212" s="144"/>
      <c r="H212" s="144"/>
      <c r="I212" s="144"/>
      <c r="J212" s="144"/>
      <c r="K212" s="38" t="s">
        <v>944</v>
      </c>
      <c r="L212" s="38" t="s">
        <v>298</v>
      </c>
      <c r="M212" s="38" t="s">
        <v>963</v>
      </c>
      <c r="N212" s="138"/>
      <c r="O212" s="138"/>
      <c r="P212" s="138"/>
      <c r="Q212" s="138"/>
      <c r="R212" s="140"/>
      <c r="S212" s="140"/>
    </row>
    <row r="213" spans="1:19" s="3" customFormat="1" ht="48" customHeight="1">
      <c r="A213" s="158" t="s">
        <v>427</v>
      </c>
      <c r="B213" s="40" t="s">
        <v>456</v>
      </c>
      <c r="C213" s="16"/>
      <c r="D213" s="62" t="s">
        <v>184</v>
      </c>
      <c r="E213" s="142" t="s">
        <v>591</v>
      </c>
      <c r="F213" s="142" t="s">
        <v>592</v>
      </c>
      <c r="G213" s="142" t="s">
        <v>107</v>
      </c>
      <c r="H213" s="142" t="s">
        <v>551</v>
      </c>
      <c r="I213" s="142" t="s">
        <v>329</v>
      </c>
      <c r="J213" s="142" t="s">
        <v>59</v>
      </c>
      <c r="K213" s="142" t="s">
        <v>894</v>
      </c>
      <c r="L213" s="36" t="s">
        <v>298</v>
      </c>
      <c r="M213" s="142" t="s">
        <v>347</v>
      </c>
      <c r="N213" s="71">
        <f>96600/1000</f>
        <v>96.6</v>
      </c>
      <c r="O213" s="71">
        <f>96600/1000</f>
        <v>96.6</v>
      </c>
      <c r="P213" s="71">
        <v>122.2</v>
      </c>
      <c r="Q213" s="71">
        <v>0</v>
      </c>
      <c r="R213" s="74">
        <v>0</v>
      </c>
      <c r="S213" s="74">
        <v>0</v>
      </c>
    </row>
    <row r="214" spans="1:19" s="3" customFormat="1" ht="48.75" customHeight="1">
      <c r="A214" s="160"/>
      <c r="B214" s="11" t="s">
        <v>457</v>
      </c>
      <c r="C214" s="16"/>
      <c r="D214" s="61" t="s">
        <v>184</v>
      </c>
      <c r="E214" s="143"/>
      <c r="F214" s="143"/>
      <c r="G214" s="143"/>
      <c r="H214" s="143"/>
      <c r="I214" s="143"/>
      <c r="J214" s="143"/>
      <c r="K214" s="143"/>
      <c r="L214" s="7" t="s">
        <v>298</v>
      </c>
      <c r="M214" s="143"/>
      <c r="N214" s="69">
        <f>31750/1000</f>
        <v>31.75</v>
      </c>
      <c r="O214" s="69">
        <f>31750/1000</f>
        <v>31.75</v>
      </c>
      <c r="P214" s="69">
        <v>55</v>
      </c>
      <c r="Q214" s="69">
        <v>55</v>
      </c>
      <c r="R214" s="70">
        <v>55</v>
      </c>
      <c r="S214" s="70">
        <v>55</v>
      </c>
    </row>
    <row r="215" spans="1:19" s="3" customFormat="1" ht="37.5" customHeight="1">
      <c r="A215" s="160"/>
      <c r="B215" s="11" t="s">
        <v>458</v>
      </c>
      <c r="C215" s="16"/>
      <c r="D215" s="61" t="s">
        <v>184</v>
      </c>
      <c r="E215" s="143"/>
      <c r="F215" s="143"/>
      <c r="G215" s="143"/>
      <c r="H215" s="143"/>
      <c r="I215" s="143"/>
      <c r="J215" s="143"/>
      <c r="K215" s="143"/>
      <c r="L215" s="7" t="s">
        <v>298</v>
      </c>
      <c r="M215" s="143"/>
      <c r="N215" s="69">
        <f>158000/1000</f>
        <v>158</v>
      </c>
      <c r="O215" s="69">
        <f>158000/1000</f>
        <v>158</v>
      </c>
      <c r="P215" s="69">
        <v>158</v>
      </c>
      <c r="Q215" s="69">
        <v>158</v>
      </c>
      <c r="R215" s="70">
        <v>158</v>
      </c>
      <c r="S215" s="70">
        <v>158</v>
      </c>
    </row>
    <row r="216" spans="1:19" s="3" customFormat="1" ht="36.75" customHeight="1">
      <c r="A216" s="160"/>
      <c r="B216" s="11" t="s">
        <v>459</v>
      </c>
      <c r="C216" s="16"/>
      <c r="D216" s="61" t="s">
        <v>244</v>
      </c>
      <c r="E216" s="143"/>
      <c r="F216" s="143"/>
      <c r="G216" s="143"/>
      <c r="H216" s="143"/>
      <c r="I216" s="143"/>
      <c r="J216" s="143"/>
      <c r="K216" s="143"/>
      <c r="L216" s="7" t="s">
        <v>298</v>
      </c>
      <c r="M216" s="143"/>
      <c r="N216" s="69">
        <f>677000/1000</f>
        <v>677</v>
      </c>
      <c r="O216" s="69">
        <f>677000/1000</f>
        <v>677</v>
      </c>
      <c r="P216" s="69">
        <v>703</v>
      </c>
      <c r="Q216" s="69">
        <v>734</v>
      </c>
      <c r="R216" s="70">
        <v>734</v>
      </c>
      <c r="S216" s="70">
        <v>734</v>
      </c>
    </row>
    <row r="217" spans="1:19" s="3" customFormat="1" ht="135.75" customHeight="1">
      <c r="A217" s="160"/>
      <c r="B217" s="11" t="s">
        <v>606</v>
      </c>
      <c r="C217" s="16"/>
      <c r="D217" s="61" t="s">
        <v>184</v>
      </c>
      <c r="E217" s="143"/>
      <c r="F217" s="143"/>
      <c r="G217" s="143"/>
      <c r="H217" s="143"/>
      <c r="I217" s="143"/>
      <c r="J217" s="143"/>
      <c r="K217" s="143"/>
      <c r="L217" s="7" t="s">
        <v>298</v>
      </c>
      <c r="M217" s="143"/>
      <c r="N217" s="71">
        <f>890000/1000</f>
        <v>890</v>
      </c>
      <c r="O217" s="71">
        <f>890000/1000</f>
        <v>890</v>
      </c>
      <c r="P217" s="71">
        <v>666</v>
      </c>
      <c r="Q217" s="71">
        <v>0</v>
      </c>
      <c r="R217" s="74">
        <v>0</v>
      </c>
      <c r="S217" s="74">
        <v>0</v>
      </c>
    </row>
    <row r="218" spans="1:19" s="3" customFormat="1" ht="134.25" customHeight="1">
      <c r="A218" s="160"/>
      <c r="B218" s="11" t="s">
        <v>460</v>
      </c>
      <c r="C218" s="12"/>
      <c r="D218" s="61" t="s">
        <v>184</v>
      </c>
      <c r="E218" s="143"/>
      <c r="F218" s="143"/>
      <c r="G218" s="143"/>
      <c r="H218" s="143"/>
      <c r="I218" s="143"/>
      <c r="J218" s="143"/>
      <c r="K218" s="143"/>
      <c r="L218" s="7" t="s">
        <v>298</v>
      </c>
      <c r="M218" s="143"/>
      <c r="N218" s="71">
        <f>46800/1000</f>
        <v>46.8</v>
      </c>
      <c r="O218" s="71">
        <f>46800/1000</f>
        <v>46.8</v>
      </c>
      <c r="P218" s="71">
        <v>33.1</v>
      </c>
      <c r="Q218" s="71">
        <v>33.1</v>
      </c>
      <c r="R218" s="74">
        <v>33.1</v>
      </c>
      <c r="S218" s="74">
        <v>33.1</v>
      </c>
    </row>
    <row r="219" spans="1:19" s="3" customFormat="1" ht="35.25" customHeight="1" hidden="1">
      <c r="A219" s="57" t="s">
        <v>429</v>
      </c>
      <c r="B219" s="11" t="s">
        <v>428</v>
      </c>
      <c r="C219" s="16"/>
      <c r="D219" s="61"/>
      <c r="E219" s="7"/>
      <c r="F219" s="7"/>
      <c r="G219" s="7"/>
      <c r="H219" s="7"/>
      <c r="I219" s="7"/>
      <c r="J219" s="7"/>
      <c r="K219" s="7"/>
      <c r="L219" s="7"/>
      <c r="M219" s="38"/>
      <c r="N219" s="71"/>
      <c r="O219" s="71"/>
      <c r="P219" s="71"/>
      <c r="Q219" s="71"/>
      <c r="R219" s="74"/>
      <c r="S219" s="74"/>
    </row>
    <row r="220" spans="1:19" s="3" customFormat="1" ht="51" customHeight="1">
      <c r="A220" s="176" t="s">
        <v>430</v>
      </c>
      <c r="B220" s="180" t="s">
        <v>385</v>
      </c>
      <c r="C220" s="161"/>
      <c r="D220" s="62" t="s">
        <v>271</v>
      </c>
      <c r="E220" s="162" t="s">
        <v>323</v>
      </c>
      <c r="F220" s="162" t="s">
        <v>78</v>
      </c>
      <c r="G220" s="162" t="s">
        <v>325</v>
      </c>
      <c r="H220" s="142" t="s">
        <v>552</v>
      </c>
      <c r="I220" s="142" t="s">
        <v>103</v>
      </c>
      <c r="J220" s="142" t="s">
        <v>77</v>
      </c>
      <c r="K220" s="142" t="s">
        <v>969</v>
      </c>
      <c r="L220" s="142" t="s">
        <v>17</v>
      </c>
      <c r="M220" s="146" t="s">
        <v>970</v>
      </c>
      <c r="N220" s="71">
        <f>4644000/1000</f>
        <v>4644</v>
      </c>
      <c r="O220" s="71">
        <f>3787785.91/1000</f>
        <v>3787.78591</v>
      </c>
      <c r="P220" s="71">
        <v>3681</v>
      </c>
      <c r="Q220" s="71">
        <v>3681</v>
      </c>
      <c r="R220" s="71">
        <v>3681</v>
      </c>
      <c r="S220" s="71">
        <v>3681</v>
      </c>
    </row>
    <row r="221" spans="1:19" s="3" customFormat="1" ht="51" customHeight="1">
      <c r="A221" s="176"/>
      <c r="B221" s="180"/>
      <c r="C221" s="161"/>
      <c r="D221" s="63" t="s">
        <v>22</v>
      </c>
      <c r="E221" s="162"/>
      <c r="F221" s="162"/>
      <c r="G221" s="162"/>
      <c r="H221" s="143"/>
      <c r="I221" s="143"/>
      <c r="J221" s="143"/>
      <c r="K221" s="143"/>
      <c r="L221" s="143"/>
      <c r="M221" s="147"/>
      <c r="N221" s="72">
        <f>15091000/1000</f>
        <v>15091</v>
      </c>
      <c r="O221" s="72">
        <f>12100905.48/1000</f>
        <v>12100.905480000001</v>
      </c>
      <c r="P221" s="72">
        <v>12994</v>
      </c>
      <c r="Q221" s="72">
        <v>12994</v>
      </c>
      <c r="R221" s="72">
        <v>12994</v>
      </c>
      <c r="S221" s="72">
        <v>12994</v>
      </c>
    </row>
    <row r="222" spans="1:19" s="3" customFormat="1" ht="73.5" customHeight="1">
      <c r="A222" s="176"/>
      <c r="B222" s="180"/>
      <c r="C222" s="161"/>
      <c r="D222" s="63" t="s">
        <v>22</v>
      </c>
      <c r="E222" s="162"/>
      <c r="F222" s="162"/>
      <c r="G222" s="162"/>
      <c r="H222" s="144"/>
      <c r="I222" s="144"/>
      <c r="J222" s="144"/>
      <c r="K222" s="38" t="s">
        <v>944</v>
      </c>
      <c r="L222" s="38" t="s">
        <v>298</v>
      </c>
      <c r="M222" s="38" t="s">
        <v>963</v>
      </c>
      <c r="N222" s="72">
        <f>3158000/1000</f>
        <v>3158</v>
      </c>
      <c r="O222" s="72">
        <f>2496806.69/1000</f>
        <v>2496.80669</v>
      </c>
      <c r="P222" s="72">
        <v>2497</v>
      </c>
      <c r="Q222" s="72">
        <v>2497</v>
      </c>
      <c r="R222" s="72">
        <v>2497</v>
      </c>
      <c r="S222" s="72">
        <v>2497</v>
      </c>
    </row>
    <row r="223" spans="1:19" s="3" customFormat="1" ht="233.25" customHeight="1">
      <c r="A223" s="54" t="s">
        <v>431</v>
      </c>
      <c r="B223" s="11" t="s">
        <v>398</v>
      </c>
      <c r="C223" s="12"/>
      <c r="D223" s="61" t="s">
        <v>22</v>
      </c>
      <c r="E223" s="7" t="s">
        <v>553</v>
      </c>
      <c r="F223" s="7" t="s">
        <v>94</v>
      </c>
      <c r="G223" s="7" t="s">
        <v>554</v>
      </c>
      <c r="H223" s="7" t="s">
        <v>557</v>
      </c>
      <c r="I223" s="7" t="s">
        <v>174</v>
      </c>
      <c r="J223" s="7" t="s">
        <v>555</v>
      </c>
      <c r="K223" s="7" t="s">
        <v>293</v>
      </c>
      <c r="L223" s="7" t="s">
        <v>17</v>
      </c>
      <c r="M223" s="10" t="s">
        <v>294</v>
      </c>
      <c r="N223" s="69">
        <f>7302000/1000</f>
        <v>7302</v>
      </c>
      <c r="O223" s="69">
        <f>7158783.73/1000</f>
        <v>7158.78373</v>
      </c>
      <c r="P223" s="69">
        <v>7031</v>
      </c>
      <c r="Q223" s="69">
        <v>7085</v>
      </c>
      <c r="R223" s="69">
        <v>0</v>
      </c>
      <c r="S223" s="69">
        <v>0</v>
      </c>
    </row>
    <row r="224" spans="1:19" s="3" customFormat="1" ht="98.25" customHeight="1">
      <c r="A224" s="54" t="s">
        <v>432</v>
      </c>
      <c r="B224" s="11" t="s">
        <v>397</v>
      </c>
      <c r="C224" s="12"/>
      <c r="D224" s="61" t="s">
        <v>22</v>
      </c>
      <c r="E224" s="7" t="s">
        <v>89</v>
      </c>
      <c r="F224" s="7" t="s">
        <v>91</v>
      </c>
      <c r="G224" s="7" t="s">
        <v>90</v>
      </c>
      <c r="H224" s="7" t="s">
        <v>557</v>
      </c>
      <c r="I224" s="7" t="s">
        <v>174</v>
      </c>
      <c r="J224" s="7" t="s">
        <v>113</v>
      </c>
      <c r="K224" s="7" t="s">
        <v>293</v>
      </c>
      <c r="L224" s="7" t="s">
        <v>358</v>
      </c>
      <c r="M224" s="10" t="s">
        <v>294</v>
      </c>
      <c r="N224" s="69">
        <f>262000/1000</f>
        <v>262</v>
      </c>
      <c r="O224" s="69">
        <f>190029.16/1000</f>
        <v>190.02916</v>
      </c>
      <c r="P224" s="69">
        <v>188</v>
      </c>
      <c r="Q224" s="69">
        <v>169</v>
      </c>
      <c r="R224" s="70">
        <v>169</v>
      </c>
      <c r="S224" s="70">
        <v>169</v>
      </c>
    </row>
    <row r="225" spans="1:19" s="3" customFormat="1" ht="158.25" customHeight="1">
      <c r="A225" s="54" t="s">
        <v>433</v>
      </c>
      <c r="B225" s="11" t="s">
        <v>396</v>
      </c>
      <c r="C225" s="12"/>
      <c r="D225" s="61" t="s">
        <v>22</v>
      </c>
      <c r="E225" s="7" t="s">
        <v>323</v>
      </c>
      <c r="F225" s="7" t="s">
        <v>556</v>
      </c>
      <c r="G225" s="7" t="s">
        <v>325</v>
      </c>
      <c r="H225" s="7" t="s">
        <v>558</v>
      </c>
      <c r="I225" s="7" t="s">
        <v>175</v>
      </c>
      <c r="J225" s="7" t="s">
        <v>154</v>
      </c>
      <c r="K225" s="7" t="s">
        <v>826</v>
      </c>
      <c r="L225" s="7" t="s">
        <v>109</v>
      </c>
      <c r="M225" s="10" t="s">
        <v>349</v>
      </c>
      <c r="N225" s="69">
        <f>217742300/1000</f>
        <v>217742.3</v>
      </c>
      <c r="O225" s="69">
        <f>(193888455.06+18165968.43)/1000</f>
        <v>212054.42349000002</v>
      </c>
      <c r="P225" s="69">
        <v>235464</v>
      </c>
      <c r="Q225" s="69">
        <v>244295</v>
      </c>
      <c r="R225" s="70">
        <v>244939</v>
      </c>
      <c r="S225" s="70">
        <v>244939</v>
      </c>
    </row>
    <row r="226" spans="1:19" s="3" customFormat="1" ht="99" customHeight="1">
      <c r="A226" s="158" t="s">
        <v>434</v>
      </c>
      <c r="B226" s="149" t="s">
        <v>383</v>
      </c>
      <c r="C226" s="16"/>
      <c r="D226" s="152" t="s">
        <v>244</v>
      </c>
      <c r="E226" s="142" t="s">
        <v>559</v>
      </c>
      <c r="F226" s="142" t="s">
        <v>560</v>
      </c>
      <c r="G226" s="146" t="s">
        <v>561</v>
      </c>
      <c r="H226" s="142" t="s">
        <v>562</v>
      </c>
      <c r="I226" s="142" t="s">
        <v>43</v>
      </c>
      <c r="J226" s="142" t="s">
        <v>44</v>
      </c>
      <c r="K226" s="36" t="s">
        <v>971</v>
      </c>
      <c r="L226" s="43" t="s">
        <v>121</v>
      </c>
      <c r="M226" s="43" t="s">
        <v>469</v>
      </c>
      <c r="N226" s="137">
        <f>44000/1000</f>
        <v>44</v>
      </c>
      <c r="O226" s="137">
        <f>44000/1000</f>
        <v>44</v>
      </c>
      <c r="P226" s="137">
        <v>46</v>
      </c>
      <c r="Q226" s="137">
        <v>48</v>
      </c>
      <c r="R226" s="139">
        <v>48</v>
      </c>
      <c r="S226" s="139">
        <v>48</v>
      </c>
    </row>
    <row r="227" spans="1:19" s="3" customFormat="1" ht="76.5" customHeight="1">
      <c r="A227" s="159"/>
      <c r="B227" s="151"/>
      <c r="C227" s="16"/>
      <c r="D227" s="154"/>
      <c r="E227" s="144"/>
      <c r="F227" s="144"/>
      <c r="G227" s="148"/>
      <c r="H227" s="144"/>
      <c r="I227" s="144"/>
      <c r="J227" s="144"/>
      <c r="K227" s="38" t="s">
        <v>944</v>
      </c>
      <c r="L227" s="38" t="s">
        <v>298</v>
      </c>
      <c r="M227" s="38" t="s">
        <v>963</v>
      </c>
      <c r="N227" s="138"/>
      <c r="O227" s="138"/>
      <c r="P227" s="138"/>
      <c r="Q227" s="138"/>
      <c r="R227" s="140"/>
      <c r="S227" s="140"/>
    </row>
    <row r="228" spans="1:19" s="3" customFormat="1" ht="123.75" customHeight="1">
      <c r="A228" s="158" t="s">
        <v>435</v>
      </c>
      <c r="B228" s="149" t="s">
        <v>387</v>
      </c>
      <c r="C228" s="12"/>
      <c r="D228" s="152" t="s">
        <v>244</v>
      </c>
      <c r="E228" s="142" t="s">
        <v>100</v>
      </c>
      <c r="F228" s="142" t="s">
        <v>101</v>
      </c>
      <c r="G228" s="142" t="s">
        <v>102</v>
      </c>
      <c r="H228" s="142" t="s">
        <v>563</v>
      </c>
      <c r="I228" s="142" t="s">
        <v>98</v>
      </c>
      <c r="J228" s="146" t="s">
        <v>99</v>
      </c>
      <c r="K228" s="36" t="s">
        <v>973</v>
      </c>
      <c r="L228" s="118" t="s">
        <v>258</v>
      </c>
      <c r="M228" s="118" t="s">
        <v>974</v>
      </c>
      <c r="N228" s="137">
        <f>19000/1000</f>
        <v>19</v>
      </c>
      <c r="O228" s="137">
        <f>19000/1000</f>
        <v>19</v>
      </c>
      <c r="P228" s="137">
        <v>20</v>
      </c>
      <c r="Q228" s="137">
        <v>21</v>
      </c>
      <c r="R228" s="139">
        <v>21</v>
      </c>
      <c r="S228" s="139">
        <v>21</v>
      </c>
    </row>
    <row r="229" spans="1:19" s="3" customFormat="1" ht="73.5" customHeight="1">
      <c r="A229" s="159"/>
      <c r="B229" s="151"/>
      <c r="C229" s="12"/>
      <c r="D229" s="154"/>
      <c r="E229" s="144"/>
      <c r="F229" s="144"/>
      <c r="G229" s="144"/>
      <c r="H229" s="144"/>
      <c r="I229" s="144"/>
      <c r="J229" s="148"/>
      <c r="K229" s="38" t="s">
        <v>944</v>
      </c>
      <c r="L229" s="38" t="s">
        <v>298</v>
      </c>
      <c r="M229" s="38" t="s">
        <v>963</v>
      </c>
      <c r="N229" s="138"/>
      <c r="O229" s="138"/>
      <c r="P229" s="138"/>
      <c r="Q229" s="138"/>
      <c r="R229" s="140"/>
      <c r="S229" s="140"/>
    </row>
    <row r="230" spans="1:19" s="3" customFormat="1" ht="26.25" customHeight="1" hidden="1">
      <c r="A230" s="54" t="s">
        <v>436</v>
      </c>
      <c r="B230" s="11" t="s">
        <v>437</v>
      </c>
      <c r="C230" s="12"/>
      <c r="D230" s="61"/>
      <c r="E230" s="7"/>
      <c r="F230" s="7"/>
      <c r="G230" s="7"/>
      <c r="H230" s="7"/>
      <c r="I230" s="7"/>
      <c r="J230" s="10"/>
      <c r="K230" s="7"/>
      <c r="L230" s="10"/>
      <c r="M230" s="10"/>
      <c r="N230" s="71"/>
      <c r="O230" s="71"/>
      <c r="P230" s="71"/>
      <c r="Q230" s="71"/>
      <c r="R230" s="74"/>
      <c r="S230" s="74"/>
    </row>
    <row r="231" spans="1:19" s="3" customFormat="1" ht="99" customHeight="1">
      <c r="A231" s="158" t="s">
        <v>438</v>
      </c>
      <c r="B231" s="149" t="s">
        <v>232</v>
      </c>
      <c r="C231" s="12"/>
      <c r="D231" s="152" t="s">
        <v>160</v>
      </c>
      <c r="E231" s="142" t="s">
        <v>564</v>
      </c>
      <c r="F231" s="142" t="s">
        <v>194</v>
      </c>
      <c r="G231" s="146" t="s">
        <v>187</v>
      </c>
      <c r="H231" s="142" t="s">
        <v>565</v>
      </c>
      <c r="I231" s="142" t="s">
        <v>109</v>
      </c>
      <c r="J231" s="142" t="s">
        <v>113</v>
      </c>
      <c r="K231" s="36" t="s">
        <v>972</v>
      </c>
      <c r="L231" s="36" t="s">
        <v>298</v>
      </c>
      <c r="M231" s="36" t="s">
        <v>399</v>
      </c>
      <c r="N231" s="137">
        <f>9174/1000</f>
        <v>9.174</v>
      </c>
      <c r="O231" s="137">
        <f>1192/1000</f>
        <v>1.192</v>
      </c>
      <c r="P231" s="137">
        <v>0</v>
      </c>
      <c r="Q231" s="137">
        <v>0</v>
      </c>
      <c r="R231" s="137">
        <v>0</v>
      </c>
      <c r="S231" s="137">
        <v>0</v>
      </c>
    </row>
    <row r="232" spans="1:19" s="3" customFormat="1" ht="74.25" customHeight="1">
      <c r="A232" s="159"/>
      <c r="B232" s="151"/>
      <c r="C232" s="12"/>
      <c r="D232" s="154"/>
      <c r="E232" s="144"/>
      <c r="F232" s="144"/>
      <c r="G232" s="148"/>
      <c r="H232" s="144"/>
      <c r="I232" s="144"/>
      <c r="J232" s="144"/>
      <c r="K232" s="38" t="s">
        <v>944</v>
      </c>
      <c r="L232" s="38" t="s">
        <v>298</v>
      </c>
      <c r="M232" s="38" t="s">
        <v>963</v>
      </c>
      <c r="N232" s="138"/>
      <c r="O232" s="138"/>
      <c r="P232" s="138"/>
      <c r="Q232" s="138"/>
      <c r="R232" s="138"/>
      <c r="S232" s="138"/>
    </row>
    <row r="233" spans="1:19" s="3" customFormat="1" ht="39" customHeight="1" hidden="1">
      <c r="A233" s="54" t="s">
        <v>439</v>
      </c>
      <c r="B233" s="11" t="s">
        <v>440</v>
      </c>
      <c r="C233" s="12"/>
      <c r="D233" s="61"/>
      <c r="E233" s="7"/>
      <c r="F233" s="7"/>
      <c r="G233" s="10"/>
      <c r="H233" s="7"/>
      <c r="I233" s="7"/>
      <c r="J233" s="7"/>
      <c r="K233" s="7"/>
      <c r="L233" s="7"/>
      <c r="M233" s="7"/>
      <c r="N233" s="71"/>
      <c r="O233" s="71"/>
      <c r="P233" s="71"/>
      <c r="Q233" s="71"/>
      <c r="R233" s="71"/>
      <c r="S233" s="71"/>
    </row>
    <row r="234" spans="1:19" s="3" customFormat="1" ht="120" customHeight="1" hidden="1">
      <c r="A234" s="54" t="s">
        <v>441</v>
      </c>
      <c r="B234" s="11" t="s">
        <v>442</v>
      </c>
      <c r="C234" s="12"/>
      <c r="D234" s="61"/>
      <c r="E234" s="7"/>
      <c r="F234" s="7"/>
      <c r="G234" s="10"/>
      <c r="H234" s="7"/>
      <c r="I234" s="7"/>
      <c r="J234" s="7"/>
      <c r="K234" s="7"/>
      <c r="L234" s="7"/>
      <c r="M234" s="7"/>
      <c r="N234" s="71"/>
      <c r="O234" s="71"/>
      <c r="P234" s="71"/>
      <c r="Q234" s="71"/>
      <c r="R234" s="71"/>
      <c r="S234" s="71"/>
    </row>
    <row r="235" spans="1:19" s="3" customFormat="1" ht="75" customHeight="1" hidden="1">
      <c r="A235" s="54" t="s">
        <v>443</v>
      </c>
      <c r="B235" s="11" t="s">
        <v>444</v>
      </c>
      <c r="C235" s="12"/>
      <c r="D235" s="61"/>
      <c r="E235" s="7"/>
      <c r="F235" s="7"/>
      <c r="G235" s="10"/>
      <c r="H235" s="7"/>
      <c r="I235" s="7"/>
      <c r="J235" s="7"/>
      <c r="K235" s="7"/>
      <c r="L235" s="7"/>
      <c r="M235" s="7"/>
      <c r="N235" s="71"/>
      <c r="O235" s="71"/>
      <c r="P235" s="71"/>
      <c r="Q235" s="71"/>
      <c r="R235" s="71"/>
      <c r="S235" s="71"/>
    </row>
    <row r="236" spans="1:19" s="3" customFormat="1" ht="135.75" customHeight="1" hidden="1">
      <c r="A236" s="54" t="s">
        <v>445</v>
      </c>
      <c r="B236" s="11" t="s">
        <v>446</v>
      </c>
      <c r="C236" s="12"/>
      <c r="D236" s="61"/>
      <c r="E236" s="7"/>
      <c r="F236" s="7"/>
      <c r="G236" s="10"/>
      <c r="H236" s="7"/>
      <c r="I236" s="7"/>
      <c r="J236" s="7"/>
      <c r="K236" s="7"/>
      <c r="L236" s="7"/>
      <c r="M236" s="7"/>
      <c r="N236" s="71"/>
      <c r="O236" s="71"/>
      <c r="P236" s="71"/>
      <c r="Q236" s="71"/>
      <c r="R236" s="71"/>
      <c r="S236" s="71"/>
    </row>
    <row r="237" spans="1:19" s="3" customFormat="1" ht="39.75" customHeight="1" hidden="1">
      <c r="A237" s="54" t="s">
        <v>447</v>
      </c>
      <c r="B237" s="11" t="s">
        <v>448</v>
      </c>
      <c r="C237" s="12"/>
      <c r="D237" s="61"/>
      <c r="E237" s="7"/>
      <c r="F237" s="7"/>
      <c r="G237" s="10"/>
      <c r="H237" s="7"/>
      <c r="I237" s="7"/>
      <c r="J237" s="7"/>
      <c r="K237" s="7"/>
      <c r="L237" s="7"/>
      <c r="M237" s="7"/>
      <c r="N237" s="71"/>
      <c r="O237" s="71"/>
      <c r="P237" s="71"/>
      <c r="Q237" s="71"/>
      <c r="R237" s="71"/>
      <c r="S237" s="71"/>
    </row>
    <row r="238" spans="1:19" s="3" customFormat="1" ht="96.75" customHeight="1">
      <c r="A238" s="158" t="s">
        <v>449</v>
      </c>
      <c r="B238" s="149" t="s">
        <v>391</v>
      </c>
      <c r="C238" s="16"/>
      <c r="D238" s="152" t="s">
        <v>244</v>
      </c>
      <c r="E238" s="142" t="s">
        <v>248</v>
      </c>
      <c r="F238" s="142" t="s">
        <v>249</v>
      </c>
      <c r="G238" s="142" t="s">
        <v>250</v>
      </c>
      <c r="H238" s="142" t="s">
        <v>208</v>
      </c>
      <c r="I238" s="142" t="s">
        <v>194</v>
      </c>
      <c r="J238" s="142" t="s">
        <v>209</v>
      </c>
      <c r="K238" s="36" t="s">
        <v>975</v>
      </c>
      <c r="L238" s="36" t="s">
        <v>298</v>
      </c>
      <c r="M238" s="36" t="s">
        <v>240</v>
      </c>
      <c r="N238" s="137">
        <f>3313000/1000</f>
        <v>3313</v>
      </c>
      <c r="O238" s="137">
        <f>3203833.63/1000</f>
        <v>3203.83363</v>
      </c>
      <c r="P238" s="137">
        <f>3547.4</f>
        <v>3547.4</v>
      </c>
      <c r="Q238" s="137">
        <v>3703.1</v>
      </c>
      <c r="R238" s="139">
        <v>3703.1</v>
      </c>
      <c r="S238" s="139">
        <v>3703.1</v>
      </c>
    </row>
    <row r="239" spans="1:19" s="3" customFormat="1" ht="71.25" customHeight="1">
      <c r="A239" s="159"/>
      <c r="B239" s="151"/>
      <c r="C239" s="16"/>
      <c r="D239" s="154"/>
      <c r="E239" s="144"/>
      <c r="F239" s="144"/>
      <c r="G239" s="144"/>
      <c r="H239" s="144"/>
      <c r="I239" s="144"/>
      <c r="J239" s="144"/>
      <c r="K239" s="38" t="s">
        <v>944</v>
      </c>
      <c r="L239" s="38" t="s">
        <v>298</v>
      </c>
      <c r="M239" s="38" t="s">
        <v>963</v>
      </c>
      <c r="N239" s="138"/>
      <c r="O239" s="138"/>
      <c r="P239" s="138"/>
      <c r="Q239" s="138"/>
      <c r="R239" s="140"/>
      <c r="S239" s="140"/>
    </row>
    <row r="240" spans="1:19" s="3" customFormat="1" ht="96.75" customHeight="1">
      <c r="A240" s="158" t="s">
        <v>450</v>
      </c>
      <c r="B240" s="149" t="s">
        <v>310</v>
      </c>
      <c r="C240" s="16"/>
      <c r="D240" s="152" t="s">
        <v>244</v>
      </c>
      <c r="E240" s="142" t="s">
        <v>248</v>
      </c>
      <c r="F240" s="142" t="s">
        <v>249</v>
      </c>
      <c r="G240" s="142" t="s">
        <v>250</v>
      </c>
      <c r="H240" s="142" t="s">
        <v>566</v>
      </c>
      <c r="I240" s="142" t="s">
        <v>247</v>
      </c>
      <c r="J240" s="142" t="s">
        <v>246</v>
      </c>
      <c r="K240" s="36" t="s">
        <v>976</v>
      </c>
      <c r="L240" s="36" t="s">
        <v>298</v>
      </c>
      <c r="M240" s="36" t="s">
        <v>268</v>
      </c>
      <c r="N240" s="137">
        <f>19900/1000</f>
        <v>19.9</v>
      </c>
      <c r="O240" s="137">
        <f>19900/1000</f>
        <v>19.9</v>
      </c>
      <c r="P240" s="137">
        <v>20</v>
      </c>
      <c r="Q240" s="137">
        <v>21</v>
      </c>
      <c r="R240" s="139">
        <v>21</v>
      </c>
      <c r="S240" s="139">
        <v>21</v>
      </c>
    </row>
    <row r="241" spans="1:19" s="3" customFormat="1" ht="75" customHeight="1">
      <c r="A241" s="159"/>
      <c r="B241" s="151"/>
      <c r="C241" s="16"/>
      <c r="D241" s="154"/>
      <c r="E241" s="144"/>
      <c r="F241" s="144"/>
      <c r="G241" s="144"/>
      <c r="H241" s="144"/>
      <c r="I241" s="144"/>
      <c r="J241" s="144"/>
      <c r="K241" s="38" t="s">
        <v>944</v>
      </c>
      <c r="L241" s="38" t="s">
        <v>298</v>
      </c>
      <c r="M241" s="38" t="s">
        <v>963</v>
      </c>
      <c r="N241" s="138"/>
      <c r="O241" s="138"/>
      <c r="P241" s="138"/>
      <c r="Q241" s="138"/>
      <c r="R241" s="140"/>
      <c r="S241" s="140"/>
    </row>
    <row r="242" spans="1:19" s="3" customFormat="1" ht="45" customHeight="1">
      <c r="A242" s="158"/>
      <c r="B242" s="149" t="s">
        <v>910</v>
      </c>
      <c r="C242" s="12"/>
      <c r="D242" s="62" t="s">
        <v>138</v>
      </c>
      <c r="E242" s="142" t="s">
        <v>977</v>
      </c>
      <c r="F242" s="142" t="s">
        <v>978</v>
      </c>
      <c r="G242" s="142" t="s">
        <v>979</v>
      </c>
      <c r="H242" s="142" t="s">
        <v>980</v>
      </c>
      <c r="I242" s="142" t="s">
        <v>567</v>
      </c>
      <c r="J242" s="146" t="s">
        <v>981</v>
      </c>
      <c r="K242" s="142" t="s">
        <v>944</v>
      </c>
      <c r="L242" s="142" t="s">
        <v>298</v>
      </c>
      <c r="M242" s="146" t="s">
        <v>963</v>
      </c>
      <c r="N242" s="71">
        <v>0</v>
      </c>
      <c r="O242" s="71">
        <v>0</v>
      </c>
      <c r="P242" s="71">
        <v>6741.7</v>
      </c>
      <c r="Q242" s="71">
        <v>7027.8</v>
      </c>
      <c r="R242" s="74">
        <v>7104.2</v>
      </c>
      <c r="S242" s="74">
        <v>7104.2</v>
      </c>
    </row>
    <row r="243" spans="1:19" s="3" customFormat="1" ht="33.75" customHeight="1">
      <c r="A243" s="160"/>
      <c r="B243" s="150"/>
      <c r="C243" s="12"/>
      <c r="D243" s="63" t="s">
        <v>181</v>
      </c>
      <c r="E243" s="143"/>
      <c r="F243" s="143"/>
      <c r="G243" s="143"/>
      <c r="H243" s="143"/>
      <c r="I243" s="143"/>
      <c r="J243" s="143"/>
      <c r="K243" s="143"/>
      <c r="L243" s="143"/>
      <c r="M243" s="147"/>
      <c r="N243" s="72">
        <v>0</v>
      </c>
      <c r="O243" s="72">
        <v>0</v>
      </c>
      <c r="P243" s="72">
        <v>19239.4</v>
      </c>
      <c r="Q243" s="72">
        <v>20055.9</v>
      </c>
      <c r="R243" s="86">
        <v>20273.9</v>
      </c>
      <c r="S243" s="86">
        <v>20273.9</v>
      </c>
    </row>
    <row r="244" spans="1:19" s="3" customFormat="1" ht="84.75" customHeight="1">
      <c r="A244" s="160"/>
      <c r="B244" s="150"/>
      <c r="C244" s="12"/>
      <c r="D244" s="63" t="s">
        <v>307</v>
      </c>
      <c r="E244" s="143"/>
      <c r="F244" s="143"/>
      <c r="G244" s="143"/>
      <c r="H244" s="143"/>
      <c r="I244" s="143"/>
      <c r="J244" s="143"/>
      <c r="K244" s="143" t="s">
        <v>945</v>
      </c>
      <c r="L244" s="143" t="s">
        <v>109</v>
      </c>
      <c r="M244" s="147" t="s">
        <v>946</v>
      </c>
      <c r="N244" s="72">
        <v>0</v>
      </c>
      <c r="O244" s="72">
        <v>0</v>
      </c>
      <c r="P244" s="72">
        <v>1729</v>
      </c>
      <c r="Q244" s="72">
        <v>1802.4</v>
      </c>
      <c r="R244" s="86">
        <v>1822</v>
      </c>
      <c r="S244" s="86">
        <v>1822</v>
      </c>
    </row>
    <row r="245" spans="1:19" s="3" customFormat="1" ht="84.75" customHeight="1">
      <c r="A245" s="159"/>
      <c r="B245" s="151"/>
      <c r="C245" s="12"/>
      <c r="D245" s="65" t="s">
        <v>308</v>
      </c>
      <c r="E245" s="144"/>
      <c r="F245" s="144"/>
      <c r="G245" s="144"/>
      <c r="H245" s="144"/>
      <c r="I245" s="144"/>
      <c r="J245" s="144"/>
      <c r="K245" s="144"/>
      <c r="L245" s="144"/>
      <c r="M245" s="148"/>
      <c r="N245" s="77">
        <v>0</v>
      </c>
      <c r="O245" s="77">
        <v>0</v>
      </c>
      <c r="P245" s="77">
        <v>45762</v>
      </c>
      <c r="Q245" s="77">
        <v>47704</v>
      </c>
      <c r="R245" s="79">
        <v>48222.5</v>
      </c>
      <c r="S245" s="79">
        <v>48222.5</v>
      </c>
    </row>
    <row r="246" spans="1:19" s="3" customFormat="1" ht="108" customHeight="1">
      <c r="A246" s="176" t="s">
        <v>451</v>
      </c>
      <c r="B246" s="180" t="s">
        <v>393</v>
      </c>
      <c r="C246" s="12"/>
      <c r="D246" s="62" t="s">
        <v>308</v>
      </c>
      <c r="E246" s="142" t="s">
        <v>47</v>
      </c>
      <c r="F246" s="142" t="s">
        <v>64</v>
      </c>
      <c r="G246" s="142" t="s">
        <v>48</v>
      </c>
      <c r="H246" s="142" t="s">
        <v>569</v>
      </c>
      <c r="I246" s="142" t="s">
        <v>174</v>
      </c>
      <c r="J246" s="142" t="s">
        <v>568</v>
      </c>
      <c r="K246" s="135" t="s">
        <v>982</v>
      </c>
      <c r="L246" s="36" t="s">
        <v>94</v>
      </c>
      <c r="M246" s="118" t="s">
        <v>983</v>
      </c>
      <c r="N246" s="71">
        <f>5775500/1000</f>
        <v>5775.5</v>
      </c>
      <c r="O246" s="71">
        <f>5267992.45/1000</f>
        <v>5267.99245</v>
      </c>
      <c r="P246" s="71">
        <v>5638.9</v>
      </c>
      <c r="Q246" s="137">
        <v>0</v>
      </c>
      <c r="R246" s="137">
        <v>0</v>
      </c>
      <c r="S246" s="137">
        <v>0</v>
      </c>
    </row>
    <row r="247" spans="1:19" s="3" customFormat="1" ht="72" customHeight="1">
      <c r="A247" s="176"/>
      <c r="B247" s="180"/>
      <c r="C247" s="12"/>
      <c r="D247" s="65" t="s">
        <v>181</v>
      </c>
      <c r="E247" s="144"/>
      <c r="F247" s="144"/>
      <c r="G247" s="144"/>
      <c r="H247" s="144"/>
      <c r="I247" s="144"/>
      <c r="J247" s="144"/>
      <c r="K247" s="38" t="s">
        <v>944</v>
      </c>
      <c r="L247" s="38" t="s">
        <v>298</v>
      </c>
      <c r="M247" s="38" t="s">
        <v>963</v>
      </c>
      <c r="N247" s="77">
        <f>2724500/1000</f>
        <v>2724.5</v>
      </c>
      <c r="O247" s="77">
        <f>2495595.48/1000</f>
        <v>2495.59548</v>
      </c>
      <c r="P247" s="77">
        <v>2940.8</v>
      </c>
      <c r="Q247" s="138"/>
      <c r="R247" s="138"/>
      <c r="S247" s="138"/>
    </row>
    <row r="248" spans="1:19" s="3" customFormat="1" ht="107.25" customHeight="1">
      <c r="A248" s="158" t="s">
        <v>451</v>
      </c>
      <c r="B248" s="149" t="s">
        <v>388</v>
      </c>
      <c r="C248" s="12"/>
      <c r="D248" s="152" t="s">
        <v>22</v>
      </c>
      <c r="E248" s="142" t="s">
        <v>570</v>
      </c>
      <c r="F248" s="142" t="s">
        <v>567</v>
      </c>
      <c r="G248" s="142" t="s">
        <v>571</v>
      </c>
      <c r="H248" s="142" t="s">
        <v>548</v>
      </c>
      <c r="I248" s="142" t="s">
        <v>574</v>
      </c>
      <c r="J248" s="146" t="s">
        <v>568</v>
      </c>
      <c r="K248" s="36" t="s">
        <v>967</v>
      </c>
      <c r="L248" s="36" t="s">
        <v>497</v>
      </c>
      <c r="M248" s="118" t="s">
        <v>984</v>
      </c>
      <c r="N248" s="137">
        <f>1493477/1000</f>
        <v>1493.477</v>
      </c>
      <c r="O248" s="137">
        <f>1493477/1000</f>
        <v>1493.477</v>
      </c>
      <c r="P248" s="137">
        <f>259.6+1125.4</f>
        <v>1385</v>
      </c>
      <c r="Q248" s="137">
        <v>1584.5</v>
      </c>
      <c r="R248" s="139">
        <v>1664.5</v>
      </c>
      <c r="S248" s="139">
        <v>1664.5</v>
      </c>
    </row>
    <row r="249" spans="1:19" s="3" customFormat="1" ht="74.25" customHeight="1">
      <c r="A249" s="159"/>
      <c r="B249" s="151"/>
      <c r="C249" s="12"/>
      <c r="D249" s="154"/>
      <c r="E249" s="144"/>
      <c r="F249" s="144"/>
      <c r="G249" s="144"/>
      <c r="H249" s="144"/>
      <c r="I249" s="144"/>
      <c r="J249" s="148"/>
      <c r="K249" s="38" t="s">
        <v>944</v>
      </c>
      <c r="L249" s="38" t="s">
        <v>298</v>
      </c>
      <c r="M249" s="38" t="s">
        <v>963</v>
      </c>
      <c r="N249" s="138"/>
      <c r="O249" s="138"/>
      <c r="P249" s="138"/>
      <c r="Q249" s="138"/>
      <c r="R249" s="140"/>
      <c r="S249" s="140"/>
    </row>
    <row r="250" spans="1:19" s="3" customFormat="1" ht="96.75" customHeight="1">
      <c r="A250" s="158" t="s">
        <v>452</v>
      </c>
      <c r="B250" s="149" t="s">
        <v>395</v>
      </c>
      <c r="C250" s="12"/>
      <c r="D250" s="152" t="s">
        <v>244</v>
      </c>
      <c r="E250" s="142" t="s">
        <v>47</v>
      </c>
      <c r="F250" s="142" t="s">
        <v>15</v>
      </c>
      <c r="G250" s="142" t="s">
        <v>90</v>
      </c>
      <c r="H250" s="142" t="s">
        <v>572</v>
      </c>
      <c r="I250" s="142" t="s">
        <v>573</v>
      </c>
      <c r="J250" s="146" t="s">
        <v>568</v>
      </c>
      <c r="K250" s="36" t="s">
        <v>985</v>
      </c>
      <c r="L250" s="118" t="s">
        <v>298</v>
      </c>
      <c r="M250" s="118" t="s">
        <v>264</v>
      </c>
      <c r="N250" s="137">
        <f>1000/1000</f>
        <v>1</v>
      </c>
      <c r="O250" s="137">
        <v>0</v>
      </c>
      <c r="P250" s="137">
        <v>1</v>
      </c>
      <c r="Q250" s="137">
        <v>1</v>
      </c>
      <c r="R250" s="137">
        <v>1</v>
      </c>
      <c r="S250" s="137">
        <v>1</v>
      </c>
    </row>
    <row r="251" spans="1:19" s="3" customFormat="1" ht="73.5" customHeight="1">
      <c r="A251" s="159"/>
      <c r="B251" s="151"/>
      <c r="C251" s="12"/>
      <c r="D251" s="154"/>
      <c r="E251" s="144"/>
      <c r="F251" s="144"/>
      <c r="G251" s="144"/>
      <c r="H251" s="144"/>
      <c r="I251" s="144"/>
      <c r="J251" s="148"/>
      <c r="K251" s="38" t="s">
        <v>944</v>
      </c>
      <c r="L251" s="38" t="s">
        <v>298</v>
      </c>
      <c r="M251" s="38" t="s">
        <v>963</v>
      </c>
      <c r="N251" s="138"/>
      <c r="O251" s="138"/>
      <c r="P251" s="138"/>
      <c r="Q251" s="138"/>
      <c r="R251" s="138"/>
      <c r="S251" s="138"/>
    </row>
    <row r="252" spans="1:19" s="3" customFormat="1" ht="72.75" customHeight="1">
      <c r="A252" s="158" t="s">
        <v>453</v>
      </c>
      <c r="B252" s="149" t="s">
        <v>394</v>
      </c>
      <c r="C252" s="16"/>
      <c r="D252" s="152" t="s">
        <v>244</v>
      </c>
      <c r="E252" s="142" t="s">
        <v>593</v>
      </c>
      <c r="F252" s="142" t="s">
        <v>594</v>
      </c>
      <c r="G252" s="142" t="s">
        <v>595</v>
      </c>
      <c r="H252" s="142" t="s">
        <v>575</v>
      </c>
      <c r="I252" s="142" t="s">
        <v>507</v>
      </c>
      <c r="J252" s="146" t="s">
        <v>568</v>
      </c>
      <c r="K252" s="36" t="s">
        <v>986</v>
      </c>
      <c r="L252" s="36" t="s">
        <v>298</v>
      </c>
      <c r="M252" s="36" t="s">
        <v>332</v>
      </c>
      <c r="N252" s="137">
        <f>510000/1000</f>
        <v>510</v>
      </c>
      <c r="O252" s="137">
        <f>510000/1000</f>
        <v>510</v>
      </c>
      <c r="P252" s="137">
        <v>529</v>
      </c>
      <c r="Q252" s="137">
        <v>552</v>
      </c>
      <c r="R252" s="139">
        <v>552</v>
      </c>
      <c r="S252" s="139">
        <v>552</v>
      </c>
    </row>
    <row r="253" spans="1:19" s="3" customFormat="1" ht="72.75" customHeight="1">
      <c r="A253" s="159"/>
      <c r="B253" s="151"/>
      <c r="C253" s="16"/>
      <c r="D253" s="154"/>
      <c r="E253" s="144"/>
      <c r="F253" s="144"/>
      <c r="G253" s="144"/>
      <c r="H253" s="144"/>
      <c r="I253" s="144"/>
      <c r="J253" s="148"/>
      <c r="K253" s="38" t="s">
        <v>944</v>
      </c>
      <c r="L253" s="38" t="s">
        <v>298</v>
      </c>
      <c r="M253" s="38" t="s">
        <v>963</v>
      </c>
      <c r="N253" s="138"/>
      <c r="O253" s="138"/>
      <c r="P253" s="138"/>
      <c r="Q253" s="138"/>
      <c r="R253" s="140"/>
      <c r="S253" s="140"/>
    </row>
    <row r="254" spans="1:19" s="3" customFormat="1" ht="87" customHeight="1">
      <c r="A254" s="158" t="s">
        <v>454</v>
      </c>
      <c r="B254" s="149" t="s">
        <v>378</v>
      </c>
      <c r="C254" s="12"/>
      <c r="D254" s="152" t="s">
        <v>271</v>
      </c>
      <c r="E254" s="142" t="s">
        <v>596</v>
      </c>
      <c r="F254" s="142" t="s">
        <v>541</v>
      </c>
      <c r="G254" s="142" t="s">
        <v>597</v>
      </c>
      <c r="H254" s="142" t="s">
        <v>576</v>
      </c>
      <c r="I254" s="142" t="s">
        <v>577</v>
      </c>
      <c r="J254" s="146" t="s">
        <v>8</v>
      </c>
      <c r="K254" s="36" t="s">
        <v>987</v>
      </c>
      <c r="L254" s="36" t="s">
        <v>94</v>
      </c>
      <c r="M254" s="36" t="s">
        <v>384</v>
      </c>
      <c r="N254" s="137">
        <f>419980/1000</f>
        <v>419.98</v>
      </c>
      <c r="O254" s="137">
        <f>419980/1000</f>
        <v>419.98</v>
      </c>
      <c r="P254" s="137">
        <v>446.5</v>
      </c>
      <c r="Q254" s="137">
        <v>466.4</v>
      </c>
      <c r="R254" s="137">
        <v>467.6</v>
      </c>
      <c r="S254" s="137">
        <v>467.6</v>
      </c>
    </row>
    <row r="255" spans="1:19" s="3" customFormat="1" ht="73.5" customHeight="1">
      <c r="A255" s="159"/>
      <c r="B255" s="151"/>
      <c r="C255" s="12"/>
      <c r="D255" s="154"/>
      <c r="E255" s="144"/>
      <c r="F255" s="144"/>
      <c r="G255" s="144"/>
      <c r="H255" s="144"/>
      <c r="I255" s="144"/>
      <c r="J255" s="148"/>
      <c r="K255" s="38" t="s">
        <v>944</v>
      </c>
      <c r="L255" s="38" t="s">
        <v>298</v>
      </c>
      <c r="M255" s="38" t="s">
        <v>963</v>
      </c>
      <c r="N255" s="138"/>
      <c r="O255" s="138"/>
      <c r="P255" s="138"/>
      <c r="Q255" s="138"/>
      <c r="R255" s="138"/>
      <c r="S255" s="138"/>
    </row>
    <row r="256" spans="1:19" s="2" customFormat="1" ht="72.75" customHeight="1">
      <c r="A256" s="158" t="s">
        <v>455</v>
      </c>
      <c r="B256" s="149" t="s">
        <v>333</v>
      </c>
      <c r="C256" s="12"/>
      <c r="D256" s="152" t="s">
        <v>237</v>
      </c>
      <c r="E256" s="142" t="s">
        <v>578</v>
      </c>
      <c r="F256" s="142" t="s">
        <v>579</v>
      </c>
      <c r="G256" s="142" t="s">
        <v>580</v>
      </c>
      <c r="H256" s="142" t="s">
        <v>581</v>
      </c>
      <c r="I256" s="142" t="s">
        <v>567</v>
      </c>
      <c r="J256" s="142" t="s">
        <v>568</v>
      </c>
      <c r="K256" s="36" t="s">
        <v>988</v>
      </c>
      <c r="L256" s="36" t="s">
        <v>298</v>
      </c>
      <c r="M256" s="36" t="s">
        <v>233</v>
      </c>
      <c r="N256" s="137">
        <f>199430/1000</f>
        <v>199.43</v>
      </c>
      <c r="O256" s="137">
        <f>199430/1000</f>
        <v>199.43</v>
      </c>
      <c r="P256" s="137">
        <v>0</v>
      </c>
      <c r="Q256" s="137">
        <v>0</v>
      </c>
      <c r="R256" s="139">
        <v>0</v>
      </c>
      <c r="S256" s="139">
        <v>0</v>
      </c>
    </row>
    <row r="257" spans="1:19" s="2" customFormat="1" ht="72.75" customHeight="1">
      <c r="A257" s="159"/>
      <c r="B257" s="151"/>
      <c r="C257" s="12"/>
      <c r="D257" s="154"/>
      <c r="E257" s="144"/>
      <c r="F257" s="144"/>
      <c r="G257" s="144"/>
      <c r="H257" s="144"/>
      <c r="I257" s="144"/>
      <c r="J257" s="144"/>
      <c r="K257" s="38" t="s">
        <v>944</v>
      </c>
      <c r="L257" s="38" t="s">
        <v>298</v>
      </c>
      <c r="M257" s="38" t="s">
        <v>963</v>
      </c>
      <c r="N257" s="138"/>
      <c r="O257" s="138"/>
      <c r="P257" s="138"/>
      <c r="Q257" s="138"/>
      <c r="R257" s="140"/>
      <c r="S257" s="140"/>
    </row>
    <row r="258" spans="1:19" s="2" customFormat="1" ht="72.75" customHeight="1">
      <c r="A258" s="158" t="s">
        <v>835</v>
      </c>
      <c r="B258" s="149" t="s">
        <v>827</v>
      </c>
      <c r="C258" s="12"/>
      <c r="D258" s="152" t="s">
        <v>355</v>
      </c>
      <c r="E258" s="142" t="s">
        <v>829</v>
      </c>
      <c r="F258" s="142" t="s">
        <v>830</v>
      </c>
      <c r="G258" s="142" t="s">
        <v>831</v>
      </c>
      <c r="H258" s="142" t="s">
        <v>832</v>
      </c>
      <c r="I258" s="142" t="s">
        <v>833</v>
      </c>
      <c r="J258" s="142" t="s">
        <v>834</v>
      </c>
      <c r="K258" s="36" t="s">
        <v>944</v>
      </c>
      <c r="L258" s="36" t="s">
        <v>298</v>
      </c>
      <c r="M258" s="36" t="s">
        <v>963</v>
      </c>
      <c r="N258" s="137">
        <f>4318293/1000</f>
        <v>4318.293</v>
      </c>
      <c r="O258" s="137">
        <f>1719900/1000</f>
        <v>1719.9</v>
      </c>
      <c r="P258" s="137">
        <v>2598.393</v>
      </c>
      <c r="Q258" s="137">
        <v>0</v>
      </c>
      <c r="R258" s="139">
        <v>0</v>
      </c>
      <c r="S258" s="139">
        <v>0</v>
      </c>
    </row>
    <row r="259" spans="1:19" s="2" customFormat="1" ht="95.25" customHeight="1">
      <c r="A259" s="160"/>
      <c r="B259" s="150"/>
      <c r="C259" s="12"/>
      <c r="D259" s="153"/>
      <c r="E259" s="143"/>
      <c r="F259" s="143"/>
      <c r="G259" s="143"/>
      <c r="H259" s="143"/>
      <c r="I259" s="143"/>
      <c r="J259" s="143"/>
      <c r="K259" s="37" t="s">
        <v>997</v>
      </c>
      <c r="L259" s="37" t="s">
        <v>298</v>
      </c>
      <c r="M259" s="37" t="s">
        <v>998</v>
      </c>
      <c r="N259" s="141"/>
      <c r="O259" s="141"/>
      <c r="P259" s="141"/>
      <c r="Q259" s="141"/>
      <c r="R259" s="145"/>
      <c r="S259" s="145"/>
    </row>
    <row r="260" spans="1:19" s="2" customFormat="1" ht="168.75" customHeight="1">
      <c r="A260" s="159"/>
      <c r="B260" s="151"/>
      <c r="C260" s="12"/>
      <c r="D260" s="154"/>
      <c r="E260" s="144"/>
      <c r="F260" s="144"/>
      <c r="G260" s="144"/>
      <c r="H260" s="144"/>
      <c r="I260" s="144"/>
      <c r="J260" s="144"/>
      <c r="K260" s="44" t="s">
        <v>828</v>
      </c>
      <c r="L260" s="44" t="s">
        <v>238</v>
      </c>
      <c r="M260" s="92" t="s">
        <v>947</v>
      </c>
      <c r="N260" s="138"/>
      <c r="O260" s="138"/>
      <c r="P260" s="138"/>
      <c r="Q260" s="138"/>
      <c r="R260" s="140"/>
      <c r="S260" s="140"/>
    </row>
    <row r="261" spans="1:19" s="4" customFormat="1" ht="96.75" customHeight="1">
      <c r="A261" s="53" t="s">
        <v>61</v>
      </c>
      <c r="B261" s="30" t="s">
        <v>159</v>
      </c>
      <c r="C261" s="32"/>
      <c r="D261" s="61"/>
      <c r="E261" s="7"/>
      <c r="F261" s="7"/>
      <c r="G261" s="7"/>
      <c r="H261" s="7"/>
      <c r="I261" s="7"/>
      <c r="J261" s="7"/>
      <c r="K261" s="7"/>
      <c r="L261" s="7"/>
      <c r="M261" s="7"/>
      <c r="N261" s="68">
        <f>SUM(N262:N288)</f>
        <v>10130.09992</v>
      </c>
      <c r="O261" s="68">
        <f>SUM(O262:O288)</f>
        <v>9613.88592</v>
      </c>
      <c r="P261" s="68">
        <f>SUM(P262:P289)</f>
        <v>3471.13231</v>
      </c>
      <c r="Q261" s="68">
        <f>SUM(Q262:Q288)</f>
        <v>1739.8000000000002</v>
      </c>
      <c r="R261" s="68">
        <f>SUM(R262:R288)</f>
        <v>1830.1999999999998</v>
      </c>
      <c r="S261" s="68">
        <f>SUM(S262:S288)</f>
        <v>1919.9</v>
      </c>
    </row>
    <row r="262" spans="1:19" s="5" customFormat="1" ht="63" customHeight="1">
      <c r="A262" s="58"/>
      <c r="B262" s="11" t="s">
        <v>316</v>
      </c>
      <c r="C262" s="13"/>
      <c r="D262" s="61" t="s">
        <v>355</v>
      </c>
      <c r="E262" s="7" t="s">
        <v>47</v>
      </c>
      <c r="F262" s="7" t="s">
        <v>188</v>
      </c>
      <c r="G262" s="7" t="s">
        <v>48</v>
      </c>
      <c r="H262" s="7"/>
      <c r="I262" s="7"/>
      <c r="J262" s="7"/>
      <c r="K262" s="7" t="s">
        <v>921</v>
      </c>
      <c r="L262" s="7" t="s">
        <v>360</v>
      </c>
      <c r="M262" s="7" t="s">
        <v>356</v>
      </c>
      <c r="N262" s="69">
        <f>74000/1000</f>
        <v>74</v>
      </c>
      <c r="O262" s="69">
        <f>68994/1000</f>
        <v>68.994</v>
      </c>
      <c r="P262" s="69">
        <v>178.2</v>
      </c>
      <c r="Q262" s="69">
        <v>189.3</v>
      </c>
      <c r="R262" s="70">
        <v>199.1</v>
      </c>
      <c r="S262" s="70">
        <v>208.9</v>
      </c>
    </row>
    <row r="263" spans="1:19" s="5" customFormat="1" ht="48.75" customHeight="1">
      <c r="A263" s="58"/>
      <c r="B263" s="11" t="s">
        <v>314</v>
      </c>
      <c r="C263" s="13"/>
      <c r="D263" s="61" t="s">
        <v>355</v>
      </c>
      <c r="E263" s="7" t="s">
        <v>47</v>
      </c>
      <c r="F263" s="7" t="s">
        <v>188</v>
      </c>
      <c r="G263" s="7" t="s">
        <v>48</v>
      </c>
      <c r="H263" s="7"/>
      <c r="I263" s="7"/>
      <c r="J263" s="7"/>
      <c r="K263" s="7" t="s">
        <v>212</v>
      </c>
      <c r="L263" s="7" t="s">
        <v>97</v>
      </c>
      <c r="M263" s="7" t="s">
        <v>41</v>
      </c>
      <c r="N263" s="69">
        <f>24000/1000</f>
        <v>24</v>
      </c>
      <c r="O263" s="69">
        <v>0</v>
      </c>
      <c r="P263" s="69">
        <v>24</v>
      </c>
      <c r="Q263" s="69">
        <v>25.5</v>
      </c>
      <c r="R263" s="70">
        <v>26.8</v>
      </c>
      <c r="S263" s="70">
        <v>28.1</v>
      </c>
    </row>
    <row r="264" spans="1:19" s="3" customFormat="1" ht="24" customHeight="1" hidden="1" outlineLevel="1">
      <c r="A264" s="54"/>
      <c r="B264" s="11" t="s">
        <v>149</v>
      </c>
      <c r="C264" s="12"/>
      <c r="D264" s="61" t="s">
        <v>237</v>
      </c>
      <c r="E264" s="7" t="s">
        <v>47</v>
      </c>
      <c r="F264" s="7" t="s">
        <v>15</v>
      </c>
      <c r="G264" s="10" t="s">
        <v>242</v>
      </c>
      <c r="H264" s="7" t="s">
        <v>12</v>
      </c>
      <c r="I264" s="7" t="s">
        <v>13</v>
      </c>
      <c r="J264" s="7" t="s">
        <v>14</v>
      </c>
      <c r="K264" s="7" t="s">
        <v>93</v>
      </c>
      <c r="L264" s="7" t="s">
        <v>139</v>
      </c>
      <c r="M264" s="7" t="s">
        <v>198</v>
      </c>
      <c r="N264" s="69">
        <v>0</v>
      </c>
      <c r="O264" s="69"/>
      <c r="P264" s="69"/>
      <c r="Q264" s="69"/>
      <c r="R264" s="69"/>
      <c r="S264" s="69"/>
    </row>
    <row r="265" spans="1:19" s="3" customFormat="1" ht="28.5" customHeight="1" hidden="1" outlineLevel="1">
      <c r="A265" s="54"/>
      <c r="B265" s="11" t="s">
        <v>215</v>
      </c>
      <c r="C265" s="12"/>
      <c r="D265" s="61" t="s">
        <v>237</v>
      </c>
      <c r="E265" s="7" t="s">
        <v>47</v>
      </c>
      <c r="F265" s="7" t="s">
        <v>15</v>
      </c>
      <c r="G265" s="10" t="s">
        <v>242</v>
      </c>
      <c r="H265" s="7"/>
      <c r="I265" s="7"/>
      <c r="J265" s="7"/>
      <c r="K265" s="7" t="s">
        <v>357</v>
      </c>
      <c r="L265" s="7" t="s">
        <v>358</v>
      </c>
      <c r="M265" s="7" t="s">
        <v>272</v>
      </c>
      <c r="N265" s="69">
        <v>0</v>
      </c>
      <c r="O265" s="69"/>
      <c r="P265" s="69"/>
      <c r="Q265" s="69"/>
      <c r="R265" s="69"/>
      <c r="S265" s="69"/>
    </row>
    <row r="266" spans="1:19" s="5" customFormat="1" ht="25.5" customHeight="1" outlineLevel="1">
      <c r="A266" s="176"/>
      <c r="B266" s="149" t="s">
        <v>5</v>
      </c>
      <c r="C266" s="13"/>
      <c r="D266" s="152" t="s">
        <v>355</v>
      </c>
      <c r="E266" s="142" t="s">
        <v>634</v>
      </c>
      <c r="F266" s="142" t="s">
        <v>405</v>
      </c>
      <c r="G266" s="142" t="s">
        <v>635</v>
      </c>
      <c r="H266" s="142" t="s">
        <v>636</v>
      </c>
      <c r="I266" s="142" t="s">
        <v>637</v>
      </c>
      <c r="J266" s="146" t="s">
        <v>638</v>
      </c>
      <c r="K266" s="142" t="s">
        <v>639</v>
      </c>
      <c r="L266" s="142" t="s">
        <v>17</v>
      </c>
      <c r="M266" s="142" t="s">
        <v>640</v>
      </c>
      <c r="N266" s="71">
        <f>86428/1000</f>
        <v>86.428</v>
      </c>
      <c r="O266" s="71">
        <f>86428/1000</f>
        <v>86.428</v>
      </c>
      <c r="P266" s="71">
        <v>0</v>
      </c>
      <c r="Q266" s="71">
        <v>0</v>
      </c>
      <c r="R266" s="74">
        <v>0</v>
      </c>
      <c r="S266" s="74">
        <v>0</v>
      </c>
    </row>
    <row r="267" spans="1:19" s="5" customFormat="1" ht="25.5" customHeight="1" outlineLevel="1">
      <c r="A267" s="156"/>
      <c r="B267" s="150"/>
      <c r="C267" s="13"/>
      <c r="D267" s="153"/>
      <c r="E267" s="143"/>
      <c r="F267" s="143"/>
      <c r="G267" s="143"/>
      <c r="H267" s="143"/>
      <c r="I267" s="143"/>
      <c r="J267" s="147"/>
      <c r="K267" s="143"/>
      <c r="L267" s="143"/>
      <c r="M267" s="143"/>
      <c r="N267" s="72">
        <f>213190/1000</f>
        <v>213.19</v>
      </c>
      <c r="O267" s="72">
        <f>213190/1000</f>
        <v>213.19</v>
      </c>
      <c r="P267" s="72">
        <v>0</v>
      </c>
      <c r="Q267" s="72">
        <v>0</v>
      </c>
      <c r="R267" s="86">
        <v>0</v>
      </c>
      <c r="S267" s="86">
        <v>0</v>
      </c>
    </row>
    <row r="268" spans="1:19" s="5" customFormat="1" ht="25.5" customHeight="1" outlineLevel="1">
      <c r="A268" s="157"/>
      <c r="B268" s="151"/>
      <c r="C268" s="13"/>
      <c r="D268" s="154"/>
      <c r="E268" s="144"/>
      <c r="F268" s="144"/>
      <c r="G268" s="144"/>
      <c r="H268" s="144"/>
      <c r="I268" s="144"/>
      <c r="J268" s="148"/>
      <c r="K268" s="144"/>
      <c r="L268" s="144"/>
      <c r="M268" s="144"/>
      <c r="N268" s="77">
        <f>86428/1000</f>
        <v>86.428</v>
      </c>
      <c r="O268" s="77">
        <f>86428/1000</f>
        <v>86.428</v>
      </c>
      <c r="P268" s="77">
        <v>0</v>
      </c>
      <c r="Q268" s="77">
        <v>0</v>
      </c>
      <c r="R268" s="79">
        <v>0</v>
      </c>
      <c r="S268" s="79">
        <v>0</v>
      </c>
    </row>
    <row r="269" spans="1:19" s="5" customFormat="1" ht="110.25" customHeight="1" hidden="1" outlineLevel="1">
      <c r="A269" s="58"/>
      <c r="B269" s="11" t="s">
        <v>2</v>
      </c>
      <c r="C269" s="13"/>
      <c r="D269" s="61" t="s">
        <v>355</v>
      </c>
      <c r="E269" s="7"/>
      <c r="F269" s="7"/>
      <c r="G269" s="7"/>
      <c r="H269" s="7"/>
      <c r="I269" s="7"/>
      <c r="J269" s="7"/>
      <c r="K269" s="7" t="s">
        <v>85</v>
      </c>
      <c r="L269" s="7" t="s">
        <v>17</v>
      </c>
      <c r="M269" s="7" t="s">
        <v>185</v>
      </c>
      <c r="N269" s="69">
        <v>0</v>
      </c>
      <c r="O269" s="69"/>
      <c r="P269" s="69"/>
      <c r="Q269" s="75"/>
      <c r="R269" s="97"/>
      <c r="S269" s="97"/>
    </row>
    <row r="270" spans="1:19" s="5" customFormat="1" ht="37.5" customHeight="1" outlineLevel="1">
      <c r="A270" s="155"/>
      <c r="B270" s="149" t="s">
        <v>5</v>
      </c>
      <c r="C270" s="13"/>
      <c r="D270" s="152" t="s">
        <v>355</v>
      </c>
      <c r="E270" s="142" t="s">
        <v>634</v>
      </c>
      <c r="F270" s="142" t="s">
        <v>405</v>
      </c>
      <c r="G270" s="142" t="s">
        <v>635</v>
      </c>
      <c r="H270" s="142" t="s">
        <v>636</v>
      </c>
      <c r="I270" s="142" t="s">
        <v>637</v>
      </c>
      <c r="J270" s="146" t="s">
        <v>638</v>
      </c>
      <c r="K270" s="142" t="s">
        <v>1040</v>
      </c>
      <c r="L270" s="142" t="s">
        <v>141</v>
      </c>
      <c r="M270" s="142" t="s">
        <v>1017</v>
      </c>
      <c r="N270" s="137">
        <v>0</v>
      </c>
      <c r="O270" s="137">
        <v>0</v>
      </c>
      <c r="P270" s="71">
        <v>300</v>
      </c>
      <c r="Q270" s="71">
        <v>318.6</v>
      </c>
      <c r="R270" s="74">
        <v>335.2</v>
      </c>
      <c r="S270" s="74">
        <v>351.6</v>
      </c>
    </row>
    <row r="271" spans="1:19" s="5" customFormat="1" ht="37.5" customHeight="1" outlineLevel="1">
      <c r="A271" s="156"/>
      <c r="B271" s="150"/>
      <c r="C271" s="13"/>
      <c r="D271" s="153"/>
      <c r="E271" s="143"/>
      <c r="F271" s="143"/>
      <c r="G271" s="143"/>
      <c r="H271" s="143"/>
      <c r="I271" s="143"/>
      <c r="J271" s="147"/>
      <c r="K271" s="143"/>
      <c r="L271" s="143"/>
      <c r="M271" s="143"/>
      <c r="N271" s="141"/>
      <c r="O271" s="141"/>
      <c r="P271" s="72">
        <v>845</v>
      </c>
      <c r="Q271" s="72">
        <v>0</v>
      </c>
      <c r="R271" s="86">
        <v>0</v>
      </c>
      <c r="S271" s="86">
        <v>0</v>
      </c>
    </row>
    <row r="272" spans="1:19" s="5" customFormat="1" ht="37.5" customHeight="1" outlineLevel="1">
      <c r="A272" s="157"/>
      <c r="B272" s="151"/>
      <c r="C272" s="13"/>
      <c r="D272" s="154"/>
      <c r="E272" s="144"/>
      <c r="F272" s="144"/>
      <c r="G272" s="144"/>
      <c r="H272" s="144"/>
      <c r="I272" s="144"/>
      <c r="J272" s="148"/>
      <c r="K272" s="144"/>
      <c r="L272" s="144"/>
      <c r="M272" s="144"/>
      <c r="N272" s="138"/>
      <c r="O272" s="138"/>
      <c r="P272" s="77">
        <v>590</v>
      </c>
      <c r="Q272" s="77">
        <v>0</v>
      </c>
      <c r="R272" s="79">
        <v>0</v>
      </c>
      <c r="S272" s="79">
        <v>0</v>
      </c>
    </row>
    <row r="273" spans="1:19" s="5" customFormat="1" ht="85.5" customHeight="1" outlineLevel="1">
      <c r="A273" s="58"/>
      <c r="B273" s="11" t="s">
        <v>374</v>
      </c>
      <c r="C273" s="13"/>
      <c r="D273" s="61" t="s">
        <v>355</v>
      </c>
      <c r="E273" s="142" t="s">
        <v>584</v>
      </c>
      <c r="F273" s="142" t="s">
        <v>94</v>
      </c>
      <c r="G273" s="142" t="s">
        <v>585</v>
      </c>
      <c r="H273" s="142" t="s">
        <v>842</v>
      </c>
      <c r="I273" s="142" t="s">
        <v>843</v>
      </c>
      <c r="J273" s="142" t="s">
        <v>844</v>
      </c>
      <c r="K273" s="142" t="s">
        <v>1043</v>
      </c>
      <c r="L273" s="142" t="s">
        <v>298</v>
      </c>
      <c r="M273" s="142" t="s">
        <v>406</v>
      </c>
      <c r="N273" s="69">
        <f>138975.69/1000</f>
        <v>138.97569000000001</v>
      </c>
      <c r="O273" s="69">
        <f>0</f>
        <v>0</v>
      </c>
      <c r="P273" s="69">
        <v>363</v>
      </c>
      <c r="Q273" s="69">
        <v>385.5</v>
      </c>
      <c r="R273" s="70">
        <v>405.6</v>
      </c>
      <c r="S273" s="70">
        <v>425.4</v>
      </c>
    </row>
    <row r="274" spans="1:19" s="5" customFormat="1" ht="47.25" customHeight="1" outlineLevel="1">
      <c r="A274" s="58"/>
      <c r="B274" s="47" t="s">
        <v>840</v>
      </c>
      <c r="C274" s="13"/>
      <c r="D274" s="61" t="s">
        <v>355</v>
      </c>
      <c r="E274" s="143"/>
      <c r="F274" s="143"/>
      <c r="G274" s="143"/>
      <c r="H274" s="143"/>
      <c r="I274" s="143"/>
      <c r="J274" s="143"/>
      <c r="K274" s="143"/>
      <c r="L274" s="143"/>
      <c r="M274" s="143"/>
      <c r="N274" s="69">
        <f>177706.62/1000</f>
        <v>177.70662</v>
      </c>
      <c r="O274" s="69">
        <v>0</v>
      </c>
      <c r="P274" s="69">
        <f>177706.62/1000</f>
        <v>177.70662</v>
      </c>
      <c r="Q274" s="69">
        <v>0</v>
      </c>
      <c r="R274" s="70">
        <v>0</v>
      </c>
      <c r="S274" s="70">
        <v>0</v>
      </c>
    </row>
    <row r="275" spans="1:19" s="5" customFormat="1" ht="60.75" customHeight="1" outlineLevel="1">
      <c r="A275" s="58"/>
      <c r="B275" s="47" t="s">
        <v>841</v>
      </c>
      <c r="C275" s="13"/>
      <c r="D275" s="61" t="s">
        <v>355</v>
      </c>
      <c r="E275" s="144"/>
      <c r="F275" s="144"/>
      <c r="G275" s="144"/>
      <c r="H275" s="144"/>
      <c r="I275" s="144"/>
      <c r="J275" s="144"/>
      <c r="K275" s="144"/>
      <c r="L275" s="144"/>
      <c r="M275" s="144"/>
      <c r="N275" s="69">
        <f>138975.69/1000</f>
        <v>138.97569000000001</v>
      </c>
      <c r="O275" s="69">
        <v>0</v>
      </c>
      <c r="P275" s="69">
        <f>138975.69/1000</f>
        <v>138.97569000000001</v>
      </c>
      <c r="Q275" s="69">
        <v>0</v>
      </c>
      <c r="R275" s="70">
        <v>0</v>
      </c>
      <c r="S275" s="70">
        <v>0</v>
      </c>
    </row>
    <row r="276" spans="1:19" s="6" customFormat="1" ht="74.25" customHeight="1">
      <c r="A276" s="53"/>
      <c r="B276" s="11" t="s">
        <v>73</v>
      </c>
      <c r="C276" s="12"/>
      <c r="D276" s="61" t="s">
        <v>364</v>
      </c>
      <c r="E276" s="7" t="s">
        <v>500</v>
      </c>
      <c r="F276" s="7" t="s">
        <v>78</v>
      </c>
      <c r="G276" s="7" t="s">
        <v>501</v>
      </c>
      <c r="H276" s="7"/>
      <c r="I276" s="7"/>
      <c r="J276" s="7"/>
      <c r="K276" s="49" t="s">
        <v>992</v>
      </c>
      <c r="L276" s="48" t="s">
        <v>463</v>
      </c>
      <c r="M276" s="48" t="s">
        <v>464</v>
      </c>
      <c r="N276" s="69">
        <f>322000/1000</f>
        <v>322</v>
      </c>
      <c r="O276" s="69">
        <f>290450/1000</f>
        <v>290.45</v>
      </c>
      <c r="P276" s="69">
        <v>0</v>
      </c>
      <c r="Q276" s="69">
        <v>0</v>
      </c>
      <c r="R276" s="70">
        <v>0</v>
      </c>
      <c r="S276" s="70">
        <v>0</v>
      </c>
    </row>
    <row r="277" spans="1:19" s="6" customFormat="1" ht="76.5" customHeight="1">
      <c r="A277" s="125"/>
      <c r="B277" s="40" t="s">
        <v>73</v>
      </c>
      <c r="C277" s="34"/>
      <c r="D277" s="62" t="s">
        <v>237</v>
      </c>
      <c r="E277" s="36" t="s">
        <v>500</v>
      </c>
      <c r="F277" s="36" t="s">
        <v>78</v>
      </c>
      <c r="G277" s="36" t="s">
        <v>501</v>
      </c>
      <c r="H277" s="36"/>
      <c r="I277" s="36"/>
      <c r="J277" s="36"/>
      <c r="K277" s="49" t="s">
        <v>1044</v>
      </c>
      <c r="L277" s="45" t="s">
        <v>298</v>
      </c>
      <c r="M277" s="45" t="s">
        <v>914</v>
      </c>
      <c r="N277" s="69">
        <v>0</v>
      </c>
      <c r="O277" s="71">
        <v>0</v>
      </c>
      <c r="P277" s="71">
        <v>520</v>
      </c>
      <c r="Q277" s="71">
        <v>552.2</v>
      </c>
      <c r="R277" s="74">
        <v>580.9</v>
      </c>
      <c r="S277" s="74">
        <v>609.4</v>
      </c>
    </row>
    <row r="278" spans="1:19" s="6" customFormat="1" ht="50.25" customHeight="1">
      <c r="A278" s="53"/>
      <c r="B278" s="11" t="s">
        <v>909</v>
      </c>
      <c r="C278" s="12"/>
      <c r="D278" s="61" t="s">
        <v>364</v>
      </c>
      <c r="E278" s="36" t="s">
        <v>500</v>
      </c>
      <c r="F278" s="36" t="s">
        <v>78</v>
      </c>
      <c r="G278" s="36" t="s">
        <v>501</v>
      </c>
      <c r="H278" s="7"/>
      <c r="I278" s="7"/>
      <c r="J278" s="7"/>
      <c r="K278" s="126" t="s">
        <v>905</v>
      </c>
      <c r="L278" s="45"/>
      <c r="M278" s="45"/>
      <c r="N278" s="69">
        <v>0</v>
      </c>
      <c r="O278" s="71">
        <v>0</v>
      </c>
      <c r="P278" s="71">
        <v>253</v>
      </c>
      <c r="Q278" s="69">
        <v>268.7</v>
      </c>
      <c r="R278" s="70">
        <v>282.6</v>
      </c>
      <c r="S278" s="70">
        <v>296.5</v>
      </c>
    </row>
    <row r="279" spans="1:19" s="6" customFormat="1" ht="62.25" customHeight="1">
      <c r="A279" s="53"/>
      <c r="B279" s="47" t="s">
        <v>607</v>
      </c>
      <c r="C279" s="12"/>
      <c r="D279" s="61" t="s">
        <v>364</v>
      </c>
      <c r="E279" s="7" t="s">
        <v>47</v>
      </c>
      <c r="F279" s="7" t="s">
        <v>582</v>
      </c>
      <c r="G279" s="7" t="s">
        <v>48</v>
      </c>
      <c r="H279" s="7"/>
      <c r="I279" s="7"/>
      <c r="J279" s="7"/>
      <c r="K279" s="45" t="s">
        <v>617</v>
      </c>
      <c r="L279" s="45" t="s">
        <v>358</v>
      </c>
      <c r="M279" s="7" t="s">
        <v>618</v>
      </c>
      <c r="N279" s="69">
        <f>436000/1000</f>
        <v>436</v>
      </c>
      <c r="O279" s="69">
        <f>436000/1000</f>
        <v>436</v>
      </c>
      <c r="P279" s="69">
        <v>0</v>
      </c>
      <c r="Q279" s="69">
        <v>0</v>
      </c>
      <c r="R279" s="69">
        <v>0</v>
      </c>
      <c r="S279" s="69">
        <v>0</v>
      </c>
    </row>
    <row r="280" spans="1:19" s="6" customFormat="1" ht="208.5" customHeight="1">
      <c r="A280" s="53"/>
      <c r="B280" s="47" t="s">
        <v>608</v>
      </c>
      <c r="C280" s="12"/>
      <c r="D280" s="61" t="s">
        <v>355</v>
      </c>
      <c r="E280" s="7" t="s">
        <v>650</v>
      </c>
      <c r="F280" s="7" t="s">
        <v>651</v>
      </c>
      <c r="G280" s="7" t="s">
        <v>652</v>
      </c>
      <c r="H280" s="7"/>
      <c r="I280" s="7"/>
      <c r="J280" s="7"/>
      <c r="K280" s="45" t="s">
        <v>653</v>
      </c>
      <c r="L280" s="45" t="s">
        <v>358</v>
      </c>
      <c r="M280" s="7" t="s">
        <v>654</v>
      </c>
      <c r="N280" s="69">
        <f>1000000/1000</f>
        <v>1000</v>
      </c>
      <c r="O280" s="69">
        <f>1000000/1000</f>
        <v>1000</v>
      </c>
      <c r="P280" s="69">
        <v>0</v>
      </c>
      <c r="Q280" s="69">
        <v>0</v>
      </c>
      <c r="R280" s="69">
        <v>0</v>
      </c>
      <c r="S280" s="69">
        <v>0</v>
      </c>
    </row>
    <row r="281" spans="1:19" s="6" customFormat="1" ht="228.75" customHeight="1">
      <c r="A281" s="53"/>
      <c r="B281" s="47" t="s">
        <v>647</v>
      </c>
      <c r="C281" s="12"/>
      <c r="D281" s="61" t="s">
        <v>355</v>
      </c>
      <c r="E281" s="7" t="s">
        <v>650</v>
      </c>
      <c r="F281" s="7" t="s">
        <v>651</v>
      </c>
      <c r="G281" s="7" t="s">
        <v>652</v>
      </c>
      <c r="H281" s="7" t="s">
        <v>648</v>
      </c>
      <c r="I281" s="7" t="s">
        <v>109</v>
      </c>
      <c r="J281" s="7" t="s">
        <v>649</v>
      </c>
      <c r="K281" s="136" t="s">
        <v>993</v>
      </c>
      <c r="L281" s="136" t="s">
        <v>94</v>
      </c>
      <c r="M281" s="136" t="s">
        <v>996</v>
      </c>
      <c r="N281" s="69">
        <f>1000000/1000</f>
        <v>1000</v>
      </c>
      <c r="O281" s="69">
        <f>1000000/1000</f>
        <v>1000</v>
      </c>
      <c r="P281" s="69">
        <v>0</v>
      </c>
      <c r="Q281" s="69">
        <v>0</v>
      </c>
      <c r="R281" s="69">
        <v>0</v>
      </c>
      <c r="S281" s="69">
        <v>0</v>
      </c>
    </row>
    <row r="282" spans="1:19" s="6" customFormat="1" ht="75" customHeight="1">
      <c r="A282" s="53"/>
      <c r="B282" s="47" t="s">
        <v>609</v>
      </c>
      <c r="C282" s="12"/>
      <c r="D282" s="61" t="s">
        <v>364</v>
      </c>
      <c r="E282" s="7" t="s">
        <v>47</v>
      </c>
      <c r="F282" s="7" t="s">
        <v>582</v>
      </c>
      <c r="G282" s="7" t="s">
        <v>48</v>
      </c>
      <c r="H282" s="7" t="s">
        <v>666</v>
      </c>
      <c r="I282" s="7" t="s">
        <v>94</v>
      </c>
      <c r="J282" s="7" t="s">
        <v>667</v>
      </c>
      <c r="K282" s="44" t="s">
        <v>619</v>
      </c>
      <c r="L282" s="44" t="s">
        <v>245</v>
      </c>
      <c r="M282" s="38" t="s">
        <v>620</v>
      </c>
      <c r="N282" s="69">
        <f>99990/1000</f>
        <v>99.99</v>
      </c>
      <c r="O282" s="69">
        <f>99990/1000</f>
        <v>99.99</v>
      </c>
      <c r="P282" s="69">
        <v>0</v>
      </c>
      <c r="Q282" s="69">
        <v>0</v>
      </c>
      <c r="R282" s="69">
        <v>0</v>
      </c>
      <c r="S282" s="69">
        <v>0</v>
      </c>
    </row>
    <row r="283" spans="1:19" s="6" customFormat="1" ht="75" customHeight="1">
      <c r="A283" s="53"/>
      <c r="B283" s="47" t="s">
        <v>665</v>
      </c>
      <c r="C283" s="12"/>
      <c r="D283" s="61" t="s">
        <v>364</v>
      </c>
      <c r="E283" s="7" t="s">
        <v>47</v>
      </c>
      <c r="F283" s="7" t="s">
        <v>582</v>
      </c>
      <c r="G283" s="7" t="s">
        <v>48</v>
      </c>
      <c r="H283" s="7" t="s">
        <v>668</v>
      </c>
      <c r="I283" s="7" t="s">
        <v>94</v>
      </c>
      <c r="J283" s="7" t="s">
        <v>669</v>
      </c>
      <c r="K283" s="44" t="s">
        <v>670</v>
      </c>
      <c r="L283" s="44" t="s">
        <v>493</v>
      </c>
      <c r="M283" s="38" t="s">
        <v>671</v>
      </c>
      <c r="N283" s="69">
        <f>99000/1000</f>
        <v>99</v>
      </c>
      <c r="O283" s="69">
        <f>99000/1000</f>
        <v>99</v>
      </c>
      <c r="P283" s="69">
        <v>0</v>
      </c>
      <c r="Q283" s="69">
        <v>0</v>
      </c>
      <c r="R283" s="69">
        <v>0</v>
      </c>
      <c r="S283" s="69">
        <v>0</v>
      </c>
    </row>
    <row r="284" spans="1:19" s="6" customFormat="1" ht="90" customHeight="1">
      <c r="A284" s="53"/>
      <c r="B284" s="47" t="s">
        <v>641</v>
      </c>
      <c r="C284" s="12"/>
      <c r="D284" s="152" t="s">
        <v>364</v>
      </c>
      <c r="E284" s="142" t="s">
        <v>586</v>
      </c>
      <c r="F284" s="142" t="s">
        <v>587</v>
      </c>
      <c r="G284" s="142" t="s">
        <v>501</v>
      </c>
      <c r="H284" s="7" t="s">
        <v>644</v>
      </c>
      <c r="I284" s="7" t="s">
        <v>298</v>
      </c>
      <c r="J284" s="7" t="s">
        <v>616</v>
      </c>
      <c r="K284" s="187" t="s">
        <v>642</v>
      </c>
      <c r="L284" s="187" t="s">
        <v>109</v>
      </c>
      <c r="M284" s="187" t="s">
        <v>643</v>
      </c>
      <c r="N284" s="71">
        <f>95374.8/1000</f>
        <v>95.37480000000001</v>
      </c>
      <c r="O284" s="71">
        <f>95374.8/1000</f>
        <v>95.37480000000001</v>
      </c>
      <c r="P284" s="71">
        <v>0</v>
      </c>
      <c r="Q284" s="71">
        <v>0</v>
      </c>
      <c r="R284" s="71">
        <v>0</v>
      </c>
      <c r="S284" s="71">
        <v>0</v>
      </c>
    </row>
    <row r="285" spans="1:19" s="6" customFormat="1" ht="87.75" customHeight="1">
      <c r="A285" s="53"/>
      <c r="B285" s="47" t="s">
        <v>610</v>
      </c>
      <c r="C285" s="12"/>
      <c r="D285" s="153"/>
      <c r="E285" s="143"/>
      <c r="F285" s="143"/>
      <c r="G285" s="143"/>
      <c r="H285" s="36" t="s">
        <v>645</v>
      </c>
      <c r="I285" s="36" t="s">
        <v>298</v>
      </c>
      <c r="J285" s="36" t="s">
        <v>646</v>
      </c>
      <c r="K285" s="188"/>
      <c r="L285" s="188"/>
      <c r="M285" s="188"/>
      <c r="N285" s="72">
        <f>97991.12/1000</f>
        <v>97.99112</v>
      </c>
      <c r="O285" s="72">
        <f>97991.12/1000</f>
        <v>97.99112</v>
      </c>
      <c r="P285" s="72">
        <v>0</v>
      </c>
      <c r="Q285" s="72">
        <v>0</v>
      </c>
      <c r="R285" s="72">
        <v>0</v>
      </c>
      <c r="S285" s="72">
        <v>0</v>
      </c>
    </row>
    <row r="286" spans="1:19" s="6" customFormat="1" ht="87.75" customHeight="1">
      <c r="A286" s="53"/>
      <c r="B286" s="47" t="s">
        <v>697</v>
      </c>
      <c r="C286" s="12"/>
      <c r="D286" s="154"/>
      <c r="E286" s="143"/>
      <c r="F286" s="143"/>
      <c r="G286" s="143"/>
      <c r="H286" s="37" t="s">
        <v>700</v>
      </c>
      <c r="I286" s="37" t="s">
        <v>701</v>
      </c>
      <c r="J286" s="37" t="s">
        <v>702</v>
      </c>
      <c r="K286" s="128" t="s">
        <v>994</v>
      </c>
      <c r="L286" s="128" t="s">
        <v>94</v>
      </c>
      <c r="M286" s="128" t="s">
        <v>995</v>
      </c>
      <c r="N286" s="72">
        <f>3000000/1000</f>
        <v>3000</v>
      </c>
      <c r="O286" s="72">
        <f>3000000/1000</f>
        <v>3000</v>
      </c>
      <c r="P286" s="72">
        <v>0</v>
      </c>
      <c r="Q286" s="72">
        <v>0</v>
      </c>
      <c r="R286" s="72">
        <v>0</v>
      </c>
      <c r="S286" s="72">
        <v>0</v>
      </c>
    </row>
    <row r="287" spans="1:19" s="6" customFormat="1" ht="87.75" customHeight="1">
      <c r="A287" s="53"/>
      <c r="B287" s="47" t="s">
        <v>698</v>
      </c>
      <c r="C287" s="12"/>
      <c r="D287" s="93" t="s">
        <v>364</v>
      </c>
      <c r="E287" s="144"/>
      <c r="F287" s="144"/>
      <c r="G287" s="144"/>
      <c r="H287" s="38" t="s">
        <v>703</v>
      </c>
      <c r="I287" s="38" t="s">
        <v>839</v>
      </c>
      <c r="J287" s="38" t="s">
        <v>720</v>
      </c>
      <c r="K287" s="44" t="s">
        <v>837</v>
      </c>
      <c r="L287" s="44" t="s">
        <v>94</v>
      </c>
      <c r="M287" s="44" t="s">
        <v>838</v>
      </c>
      <c r="N287" s="77">
        <f>3000000/1000</f>
        <v>3000</v>
      </c>
      <c r="O287" s="77">
        <f>3000000/1000</f>
        <v>3000</v>
      </c>
      <c r="P287" s="77">
        <v>0</v>
      </c>
      <c r="Q287" s="77">
        <v>0</v>
      </c>
      <c r="R287" s="77">
        <v>0</v>
      </c>
      <c r="S287" s="77">
        <v>0</v>
      </c>
    </row>
    <row r="288" spans="1:19" s="6" customFormat="1" ht="98.25" customHeight="1">
      <c r="A288" s="53"/>
      <c r="B288" s="47" t="s">
        <v>699</v>
      </c>
      <c r="C288" s="12"/>
      <c r="D288" s="93" t="s">
        <v>364</v>
      </c>
      <c r="E288" s="94" t="s">
        <v>586</v>
      </c>
      <c r="F288" s="95" t="s">
        <v>78</v>
      </c>
      <c r="G288" s="94" t="s">
        <v>501</v>
      </c>
      <c r="H288" s="7" t="s">
        <v>709</v>
      </c>
      <c r="I288" s="7" t="s">
        <v>710</v>
      </c>
      <c r="J288" s="7" t="s">
        <v>711</v>
      </c>
      <c r="K288" s="44" t="s">
        <v>836</v>
      </c>
      <c r="L288" s="44" t="s">
        <v>109</v>
      </c>
      <c r="M288" s="44" t="s">
        <v>778</v>
      </c>
      <c r="N288" s="69">
        <f>40040/1000</f>
        <v>40.04</v>
      </c>
      <c r="O288" s="69">
        <f>40040/1000</f>
        <v>40.04</v>
      </c>
      <c r="P288" s="69">
        <v>0</v>
      </c>
      <c r="Q288" s="69">
        <v>0</v>
      </c>
      <c r="R288" s="69">
        <v>0</v>
      </c>
      <c r="S288" s="69">
        <v>0</v>
      </c>
    </row>
    <row r="289" spans="1:19" s="6" customFormat="1" ht="77.25" customHeight="1">
      <c r="A289" s="53"/>
      <c r="B289" s="47" t="s">
        <v>948</v>
      </c>
      <c r="C289" s="12"/>
      <c r="D289" s="93"/>
      <c r="E289" s="7" t="s">
        <v>47</v>
      </c>
      <c r="F289" s="7" t="s">
        <v>582</v>
      </c>
      <c r="G289" s="7" t="s">
        <v>48</v>
      </c>
      <c r="H289" s="7" t="s">
        <v>949</v>
      </c>
      <c r="I289" s="7" t="s">
        <v>94</v>
      </c>
      <c r="J289" s="7" t="s">
        <v>960</v>
      </c>
      <c r="K289" s="126" t="s">
        <v>961</v>
      </c>
      <c r="L289" s="45" t="s">
        <v>298</v>
      </c>
      <c r="M289" s="45" t="s">
        <v>962</v>
      </c>
      <c r="N289" s="69"/>
      <c r="O289" s="69"/>
      <c r="P289" s="69">
        <f>81250/1000</f>
        <v>81.25</v>
      </c>
      <c r="Q289" s="69"/>
      <c r="R289" s="69"/>
      <c r="S289" s="69"/>
    </row>
    <row r="290" spans="1:19" s="2" customFormat="1" ht="24">
      <c r="A290" s="53"/>
      <c r="B290" s="30" t="s">
        <v>267</v>
      </c>
      <c r="C290" s="16"/>
      <c r="D290" s="67"/>
      <c r="E290" s="7"/>
      <c r="F290" s="7"/>
      <c r="G290" s="7"/>
      <c r="H290" s="7"/>
      <c r="I290" s="7"/>
      <c r="J290" s="7"/>
      <c r="K290" s="7"/>
      <c r="L290" s="7"/>
      <c r="M290" s="7"/>
      <c r="N290" s="68">
        <f>N6+N199+N261</f>
        <v>849999.67934</v>
      </c>
      <c r="O290" s="68">
        <f>O6+O199+O261</f>
        <v>822644.4816100001</v>
      </c>
      <c r="P290" s="68">
        <f>P6+P199+P261</f>
        <v>899183.7096000002</v>
      </c>
      <c r="Q290" s="68">
        <f>Q6+Q199+Q261</f>
        <v>829039.4000000001</v>
      </c>
      <c r="R290" s="68">
        <f>R7+R20+R25+R26+R28+R29+R36+R40+R44+R49+R57+R67+R122+R147+R151+R153+R159+R163+R166+R172+R177+R182+R199+R261</f>
        <v>849180.7</v>
      </c>
      <c r="S290" s="68">
        <f>S7+S20+S25+S26+S28+S29+S36+S40+S44+S49+S57+S67+S122+S147+S151+S153+S159+S163+S166+S172+S177+S182+S199+S261</f>
        <v>871743.4</v>
      </c>
    </row>
    <row r="291" spans="1:19" s="2" customFormat="1" ht="24">
      <c r="A291" s="53"/>
      <c r="B291" s="30" t="s">
        <v>267</v>
      </c>
      <c r="C291" s="16"/>
      <c r="D291" s="67"/>
      <c r="E291" s="7"/>
      <c r="F291" s="7"/>
      <c r="G291" s="7"/>
      <c r="H291" s="7"/>
      <c r="I291" s="7"/>
      <c r="J291" s="7"/>
      <c r="K291" s="7"/>
      <c r="L291" s="7"/>
      <c r="M291" s="7"/>
      <c r="N291" s="68">
        <f aca="true" t="shared" si="13" ref="N291:S291">N290</f>
        <v>849999.67934</v>
      </c>
      <c r="O291" s="68">
        <f t="shared" si="13"/>
        <v>822644.4816100001</v>
      </c>
      <c r="P291" s="68">
        <f t="shared" si="13"/>
        <v>899183.7096000002</v>
      </c>
      <c r="Q291" s="68">
        <f t="shared" si="13"/>
        <v>829039.4000000001</v>
      </c>
      <c r="R291" s="68">
        <f t="shared" si="13"/>
        <v>849180.7</v>
      </c>
      <c r="S291" s="68">
        <f t="shared" si="13"/>
        <v>871743.4</v>
      </c>
    </row>
    <row r="292" spans="1:19" s="2" customFormat="1" ht="12.75">
      <c r="A292" s="53"/>
      <c r="B292" s="30"/>
      <c r="C292" s="16"/>
      <c r="D292" s="59"/>
      <c r="E292" s="25"/>
      <c r="F292" s="25"/>
      <c r="G292" s="25"/>
      <c r="H292" s="26"/>
      <c r="I292" s="25"/>
      <c r="J292" s="25"/>
      <c r="K292" s="26"/>
      <c r="L292" s="25"/>
      <c r="M292" s="7"/>
      <c r="N292" s="68"/>
      <c r="O292" s="68"/>
      <c r="P292" s="68"/>
      <c r="Q292" s="81"/>
      <c r="R292" s="97"/>
      <c r="S292" s="97"/>
    </row>
    <row r="293" spans="1:19" s="2" customFormat="1" ht="8.25" customHeight="1">
      <c r="A293" s="182"/>
      <c r="B293" s="183"/>
      <c r="C293" s="183"/>
      <c r="D293" s="183"/>
      <c r="E293" s="183"/>
      <c r="F293" s="183"/>
      <c r="G293" s="14"/>
      <c r="H293" s="33"/>
      <c r="I293" s="14"/>
      <c r="J293" s="14"/>
      <c r="K293" s="33"/>
      <c r="L293" s="14"/>
      <c r="M293" s="20"/>
      <c r="N293" s="70"/>
      <c r="O293" s="70"/>
      <c r="P293" s="70"/>
      <c r="Q293" s="97"/>
      <c r="R293" s="97"/>
      <c r="S293" s="97"/>
    </row>
    <row r="294" spans="1:19" s="2" customFormat="1" ht="15.75" customHeight="1">
      <c r="A294" s="14" t="s">
        <v>120</v>
      </c>
      <c r="B294" s="14"/>
      <c r="C294" s="14"/>
      <c r="D294" s="14"/>
      <c r="E294" s="14"/>
      <c r="F294" s="14"/>
      <c r="G294" s="14"/>
      <c r="H294" s="33"/>
      <c r="I294" s="14"/>
      <c r="J294" s="14"/>
      <c r="K294" s="33"/>
      <c r="L294" s="14"/>
      <c r="M294" s="20"/>
      <c r="N294" s="82">
        <f>'Субс посел 2011'!D126</f>
        <v>187766.43386999998</v>
      </c>
      <c r="O294" s="82">
        <f>'Субс посел 2011'!E126</f>
        <v>169734.80417</v>
      </c>
      <c r="P294" s="82">
        <f>'Субс посел 2011'!F126</f>
        <v>191141.71737</v>
      </c>
      <c r="Q294" s="82">
        <f>'Субс посел 2011'!G126</f>
        <v>94022.1</v>
      </c>
      <c r="R294" s="82">
        <f>'Субс посел 2011'!H126</f>
        <v>96613.3</v>
      </c>
      <c r="S294" s="82">
        <f>'Субс посел 2011'!I126</f>
        <v>98036.6</v>
      </c>
    </row>
    <row r="295" spans="1:19" s="2" customFormat="1" ht="12.75" hidden="1">
      <c r="A295" s="14" t="s">
        <v>147</v>
      </c>
      <c r="B295" s="14"/>
      <c r="C295" s="14"/>
      <c r="D295" s="14"/>
      <c r="E295" s="14"/>
      <c r="F295" s="14"/>
      <c r="G295" s="14"/>
      <c r="H295" s="33"/>
      <c r="I295" s="14"/>
      <c r="J295" s="14"/>
      <c r="K295" s="33"/>
      <c r="L295" s="14"/>
      <c r="M295" s="20"/>
      <c r="N295" s="70">
        <f>N290+N294</f>
        <v>1037766.11321</v>
      </c>
      <c r="O295" s="70"/>
      <c r="P295" s="70">
        <f>P290+P294</f>
        <v>1090325.4269700001</v>
      </c>
      <c r="Q295" s="100"/>
      <c r="R295" s="100"/>
      <c r="S295" s="100"/>
    </row>
    <row r="296" spans="1:19" s="2" customFormat="1" ht="15.75" customHeight="1">
      <c r="A296" s="14" t="s">
        <v>147</v>
      </c>
      <c r="B296" s="14"/>
      <c r="C296" s="14"/>
      <c r="D296" s="14"/>
      <c r="E296" s="14"/>
      <c r="F296" s="14"/>
      <c r="G296" s="14"/>
      <c r="H296" s="33"/>
      <c r="I296" s="14"/>
      <c r="J296" s="14"/>
      <c r="K296" s="33"/>
      <c r="L296" s="14"/>
      <c r="M296" s="20"/>
      <c r="N296" s="70">
        <f aca="true" t="shared" si="14" ref="N296:S296">N290+N294</f>
        <v>1037766.11321</v>
      </c>
      <c r="O296" s="70">
        <f t="shared" si="14"/>
        <v>992379.2857800002</v>
      </c>
      <c r="P296" s="70">
        <f t="shared" si="14"/>
        <v>1090325.4269700001</v>
      </c>
      <c r="Q296" s="70">
        <f t="shared" si="14"/>
        <v>923061.5000000001</v>
      </c>
      <c r="R296" s="70">
        <f t="shared" si="14"/>
        <v>945794</v>
      </c>
      <c r="S296" s="70">
        <f t="shared" si="14"/>
        <v>969780</v>
      </c>
    </row>
    <row r="297" spans="1:18" s="2" customFormat="1" ht="13.5" customHeight="1" hidden="1">
      <c r="A297" s="22"/>
      <c r="B297" s="22"/>
      <c r="C297" s="22"/>
      <c r="D297" s="22"/>
      <c r="E297" s="22"/>
      <c r="F297" s="22"/>
      <c r="G297" s="22"/>
      <c r="H297" s="23"/>
      <c r="I297" s="22"/>
      <c r="J297" s="22"/>
      <c r="K297" s="23"/>
      <c r="L297" s="22"/>
      <c r="M297" s="24"/>
      <c r="N297" s="22"/>
      <c r="O297" s="22"/>
      <c r="P297" s="22"/>
      <c r="Q297" s="22"/>
      <c r="R297" s="8"/>
    </row>
  </sheetData>
  <sheetProtection/>
  <autoFilter ref="A4:R291"/>
  <mergeCells count="703">
    <mergeCell ref="S258:S260"/>
    <mergeCell ref="Q2:S2"/>
    <mergeCell ref="S238:S239"/>
    <mergeCell ref="S240:S241"/>
    <mergeCell ref="S246:S247"/>
    <mergeCell ref="S248:S249"/>
    <mergeCell ref="S250:S251"/>
    <mergeCell ref="S252:S253"/>
    <mergeCell ref="S211:S212"/>
    <mergeCell ref="S226:S227"/>
    <mergeCell ref="S256:S257"/>
    <mergeCell ref="S191:S192"/>
    <mergeCell ref="S148:S149"/>
    <mergeCell ref="S155:S156"/>
    <mergeCell ref="S200:S201"/>
    <mergeCell ref="S202:S203"/>
    <mergeCell ref="S205:S210"/>
    <mergeCell ref="S124:S131"/>
    <mergeCell ref="S132:S133"/>
    <mergeCell ref="S134:S135"/>
    <mergeCell ref="S228:S229"/>
    <mergeCell ref="S231:S232"/>
    <mergeCell ref="S254:S255"/>
    <mergeCell ref="S54:S55"/>
    <mergeCell ref="S61:S62"/>
    <mergeCell ref="S68:S71"/>
    <mergeCell ref="S75:S78"/>
    <mergeCell ref="S85:S87"/>
    <mergeCell ref="S96:S98"/>
    <mergeCell ref="E191:E193"/>
    <mergeCell ref="F191:F193"/>
    <mergeCell ref="G191:G193"/>
    <mergeCell ref="A132:A135"/>
    <mergeCell ref="B132:B135"/>
    <mergeCell ref="S9:S11"/>
    <mergeCell ref="S15:S17"/>
    <mergeCell ref="S21:S23"/>
    <mergeCell ref="S30:S32"/>
    <mergeCell ref="S50:S51"/>
    <mergeCell ref="J54:J55"/>
    <mergeCell ref="P54:P55"/>
    <mergeCell ref="I134:I135"/>
    <mergeCell ref="P134:P135"/>
    <mergeCell ref="K134:K135"/>
    <mergeCell ref="N85:N87"/>
    <mergeCell ref="L117:L119"/>
    <mergeCell ref="M117:M119"/>
    <mergeCell ref="Q54:Q55"/>
    <mergeCell ref="R54:R55"/>
    <mergeCell ref="A117:A119"/>
    <mergeCell ref="E117:E119"/>
    <mergeCell ref="F117:F119"/>
    <mergeCell ref="G117:G119"/>
    <mergeCell ref="H117:H119"/>
    <mergeCell ref="J68:J69"/>
    <mergeCell ref="O85:O87"/>
    <mergeCell ref="I117:I119"/>
    <mergeCell ref="A54:A55"/>
    <mergeCell ref="D54:D55"/>
    <mergeCell ref="E54:E55"/>
    <mergeCell ref="F54:F55"/>
    <mergeCell ref="G54:G55"/>
    <mergeCell ref="H54:H55"/>
    <mergeCell ref="P21:P23"/>
    <mergeCell ref="Q21:Q23"/>
    <mergeCell ref="I22:I23"/>
    <mergeCell ref="J22:J23"/>
    <mergeCell ref="M22:M23"/>
    <mergeCell ref="L22:L23"/>
    <mergeCell ref="A154:A156"/>
    <mergeCell ref="B154:B156"/>
    <mergeCell ref="L134:L135"/>
    <mergeCell ref="M134:M135"/>
    <mergeCell ref="N134:N135"/>
    <mergeCell ref="B45:B47"/>
    <mergeCell ref="A45:A47"/>
    <mergeCell ref="D45:D47"/>
    <mergeCell ref="E45:E47"/>
    <mergeCell ref="F45:F47"/>
    <mergeCell ref="N68:N71"/>
    <mergeCell ref="J117:J119"/>
    <mergeCell ref="K117:K119"/>
    <mergeCell ref="I9:I10"/>
    <mergeCell ref="K22:K23"/>
    <mergeCell ref="Q132:Q133"/>
    <mergeCell ref="M130:M131"/>
    <mergeCell ref="P10:P11"/>
    <mergeCell ref="Q9:Q11"/>
    <mergeCell ref="P30:P32"/>
    <mergeCell ref="G41:G42"/>
    <mergeCell ref="A85:A87"/>
    <mergeCell ref="B85:B87"/>
    <mergeCell ref="D85:D87"/>
    <mergeCell ref="G45:G47"/>
    <mergeCell ref="I132:I133"/>
    <mergeCell ref="I75:I76"/>
    <mergeCell ref="H77:H78"/>
    <mergeCell ref="A61:A62"/>
    <mergeCell ref="B54:B55"/>
    <mergeCell ref="O10:O11"/>
    <mergeCell ref="D15:D17"/>
    <mergeCell ref="I45:I47"/>
    <mergeCell ref="N30:N32"/>
    <mergeCell ref="O30:O32"/>
    <mergeCell ref="L11:L12"/>
    <mergeCell ref="M11:M12"/>
    <mergeCell ref="O21:O23"/>
    <mergeCell ref="H11:H12"/>
    <mergeCell ref="H45:H47"/>
    <mergeCell ref="D30:D32"/>
    <mergeCell ref="N21:N23"/>
    <mergeCell ref="M31:M32"/>
    <mergeCell ref="R9:R11"/>
    <mergeCell ref="N15:N17"/>
    <mergeCell ref="O15:O17"/>
    <mergeCell ref="P15:P17"/>
    <mergeCell ref="Q15:Q17"/>
    <mergeCell ref="R15:R17"/>
    <mergeCell ref="N10:N11"/>
    <mergeCell ref="K11:K12"/>
    <mergeCell ref="C11:C12"/>
    <mergeCell ref="I11:I12"/>
    <mergeCell ref="J11:J12"/>
    <mergeCell ref="D10:D11"/>
    <mergeCell ref="Q30:Q32"/>
    <mergeCell ref="C16:C17"/>
    <mergeCell ref="H16:H17"/>
    <mergeCell ref="I16:I17"/>
    <mergeCell ref="J16:J17"/>
    <mergeCell ref="R148:R149"/>
    <mergeCell ref="J132:J133"/>
    <mergeCell ref="H180:H181"/>
    <mergeCell ref="A15:A17"/>
    <mergeCell ref="A30:A32"/>
    <mergeCell ref="B30:B32"/>
    <mergeCell ref="B21:B23"/>
    <mergeCell ref="A21:A23"/>
    <mergeCell ref="R30:R32"/>
    <mergeCell ref="H22:H23"/>
    <mergeCell ref="R132:R133"/>
    <mergeCell ref="N96:N98"/>
    <mergeCell ref="O96:O98"/>
    <mergeCell ref="P124:P131"/>
    <mergeCell ref="Q124:Q131"/>
    <mergeCell ref="J134:J135"/>
    <mergeCell ref="L130:L131"/>
    <mergeCell ref="R191:R192"/>
    <mergeCell ref="J148:J149"/>
    <mergeCell ref="O148:O149"/>
    <mergeCell ref="O191:O192"/>
    <mergeCell ref="N148:N149"/>
    <mergeCell ref="R134:R135"/>
    <mergeCell ref="R155:R156"/>
    <mergeCell ref="J180:J181"/>
    <mergeCell ref="M155:M156"/>
    <mergeCell ref="N155:N156"/>
    <mergeCell ref="N132:N133"/>
    <mergeCell ref="Q148:Q149"/>
    <mergeCell ref="A141:A143"/>
    <mergeCell ref="J175:J176"/>
    <mergeCell ref="F246:F247"/>
    <mergeCell ref="G246:G247"/>
    <mergeCell ref="H246:H247"/>
    <mergeCell ref="I246:I247"/>
    <mergeCell ref="H220:H222"/>
    <mergeCell ref="J220:J222"/>
    <mergeCell ref="M175:M176"/>
    <mergeCell ref="D148:D149"/>
    <mergeCell ref="G132:G133"/>
    <mergeCell ref="M266:M268"/>
    <mergeCell ref="K183:K184"/>
    <mergeCell ref="M183:M184"/>
    <mergeCell ref="I220:I222"/>
    <mergeCell ref="H205:H210"/>
    <mergeCell ref="G220:G222"/>
    <mergeCell ref="D191:D193"/>
    <mergeCell ref="R205:R210"/>
    <mergeCell ref="Q246:Q247"/>
    <mergeCell ref="R246:R247"/>
    <mergeCell ref="Q205:Q210"/>
    <mergeCell ref="M213:M218"/>
    <mergeCell ref="P211:P212"/>
    <mergeCell ref="P205:P210"/>
    <mergeCell ref="R211:R212"/>
    <mergeCell ref="O226:O227"/>
    <mergeCell ref="Q226:Q227"/>
    <mergeCell ref="K213:K218"/>
    <mergeCell ref="M220:M221"/>
    <mergeCell ref="P250:P251"/>
    <mergeCell ref="D284:D286"/>
    <mergeCell ref="E284:E287"/>
    <mergeCell ref="F273:F275"/>
    <mergeCell ref="G273:G275"/>
    <mergeCell ref="M284:M285"/>
    <mergeCell ref="J246:J247"/>
    <mergeCell ref="E252:E253"/>
    <mergeCell ref="E248:E249"/>
    <mergeCell ref="A246:A247"/>
    <mergeCell ref="H248:H249"/>
    <mergeCell ref="A248:A249"/>
    <mergeCell ref="B248:B249"/>
    <mergeCell ref="D248:D249"/>
    <mergeCell ref="H252:H253"/>
    <mergeCell ref="A266:A268"/>
    <mergeCell ref="B258:B260"/>
    <mergeCell ref="A258:A260"/>
    <mergeCell ref="B266:B268"/>
    <mergeCell ref="D266:D268"/>
    <mergeCell ref="E266:E268"/>
    <mergeCell ref="D258:D260"/>
    <mergeCell ref="E258:E260"/>
    <mergeCell ref="F266:F268"/>
    <mergeCell ref="E246:E247"/>
    <mergeCell ref="J102:J103"/>
    <mergeCell ref="D132:D133"/>
    <mergeCell ref="B205:B210"/>
    <mergeCell ref="B252:B253"/>
    <mergeCell ref="D252:D253"/>
    <mergeCell ref="F102:F103"/>
    <mergeCell ref="B175:B176"/>
    <mergeCell ref="E205:E210"/>
    <mergeCell ref="M102:M103"/>
    <mergeCell ref="L86:L87"/>
    <mergeCell ref="M86:M87"/>
    <mergeCell ref="F83:F84"/>
    <mergeCell ref="K77:K78"/>
    <mergeCell ref="H75:H76"/>
    <mergeCell ref="I77:I78"/>
    <mergeCell ref="J75:J76"/>
    <mergeCell ref="R85:R87"/>
    <mergeCell ref="Q68:Q71"/>
    <mergeCell ref="R68:R71"/>
    <mergeCell ref="L82:L84"/>
    <mergeCell ref="M82:M84"/>
    <mergeCell ref="F61:F62"/>
    <mergeCell ref="G61:G62"/>
    <mergeCell ref="H61:H62"/>
    <mergeCell ref="I61:I62"/>
    <mergeCell ref="Q61:Q62"/>
    <mergeCell ref="P96:P98"/>
    <mergeCell ref="O132:O133"/>
    <mergeCell ref="P132:P133"/>
    <mergeCell ref="P191:P192"/>
    <mergeCell ref="P148:P149"/>
    <mergeCell ref="Q191:Q192"/>
    <mergeCell ref="Q134:Q135"/>
    <mergeCell ref="O134:O135"/>
    <mergeCell ref="P155:P156"/>
    <mergeCell ref="Q155:Q156"/>
    <mergeCell ref="R61:R62"/>
    <mergeCell ref="G73:G74"/>
    <mergeCell ref="F73:F74"/>
    <mergeCell ref="N75:N78"/>
    <mergeCell ref="O75:O78"/>
    <mergeCell ref="P75:P78"/>
    <mergeCell ref="K73:K74"/>
    <mergeCell ref="I73:I74"/>
    <mergeCell ref="N61:N62"/>
    <mergeCell ref="O61:O62"/>
    <mergeCell ref="B61:B62"/>
    <mergeCell ref="D61:D62"/>
    <mergeCell ref="B75:B76"/>
    <mergeCell ref="C70:C71"/>
    <mergeCell ref="C73:C74"/>
    <mergeCell ref="B73:B74"/>
    <mergeCell ref="A73:A74"/>
    <mergeCell ref="C77:C78"/>
    <mergeCell ref="B220:B222"/>
    <mergeCell ref="A205:A210"/>
    <mergeCell ref="C220:C222"/>
    <mergeCell ref="B246:B247"/>
    <mergeCell ref="A124:A131"/>
    <mergeCell ref="B124:B131"/>
    <mergeCell ref="B148:B149"/>
    <mergeCell ref="A148:A149"/>
    <mergeCell ref="A1:R1"/>
    <mergeCell ref="A220:A222"/>
    <mergeCell ref="B41:B42"/>
    <mergeCell ref="L175:L176"/>
    <mergeCell ref="L183:L184"/>
    <mergeCell ref="A175:A176"/>
    <mergeCell ref="K82:K84"/>
    <mergeCell ref="D180:D181"/>
    <mergeCell ref="B211:B212"/>
    <mergeCell ref="A211:A212"/>
    <mergeCell ref="J50:J51"/>
    <mergeCell ref="L31:L32"/>
    <mergeCell ref="I70:I71"/>
    <mergeCell ref="J70:J71"/>
    <mergeCell ref="M73:M74"/>
    <mergeCell ref="I68:I69"/>
    <mergeCell ref="J61:J62"/>
    <mergeCell ref="J45:J47"/>
    <mergeCell ref="L73:L74"/>
    <mergeCell ref="I54:I55"/>
    <mergeCell ref="P68:P71"/>
    <mergeCell ref="H73:H74"/>
    <mergeCell ref="E2:G2"/>
    <mergeCell ref="H2:J2"/>
    <mergeCell ref="K2:M2"/>
    <mergeCell ref="E9:E10"/>
    <mergeCell ref="F9:F10"/>
    <mergeCell ref="G9:G10"/>
    <mergeCell ref="H9:H10"/>
    <mergeCell ref="M9:M10"/>
    <mergeCell ref="L284:L285"/>
    <mergeCell ref="E148:E149"/>
    <mergeCell ref="E220:E222"/>
    <mergeCell ref="P2:P3"/>
    <mergeCell ref="N2:O2"/>
    <mergeCell ref="O68:O71"/>
    <mergeCell ref="H86:H87"/>
    <mergeCell ref="I86:I87"/>
    <mergeCell ref="J86:J87"/>
    <mergeCell ref="L266:L268"/>
    <mergeCell ref="L273:L275"/>
    <mergeCell ref="I148:I149"/>
    <mergeCell ref="I266:I268"/>
    <mergeCell ref="J266:J268"/>
    <mergeCell ref="K220:K221"/>
    <mergeCell ref="L220:L221"/>
    <mergeCell ref="I213:I218"/>
    <mergeCell ref="I242:I245"/>
    <mergeCell ref="J242:J245"/>
    <mergeCell ref="I258:I260"/>
    <mergeCell ref="E273:E275"/>
    <mergeCell ref="G266:G268"/>
    <mergeCell ref="K266:K268"/>
    <mergeCell ref="I250:I251"/>
    <mergeCell ref="J250:J251"/>
    <mergeCell ref="H266:H268"/>
    <mergeCell ref="H250:H251"/>
    <mergeCell ref="F252:F253"/>
    <mergeCell ref="G252:G253"/>
    <mergeCell ref="K273:K275"/>
    <mergeCell ref="G284:G287"/>
    <mergeCell ref="G250:G251"/>
    <mergeCell ref="F175:F176"/>
    <mergeCell ref="K124:K129"/>
    <mergeCell ref="H175:H176"/>
    <mergeCell ref="F205:F210"/>
    <mergeCell ref="G205:G210"/>
    <mergeCell ref="F213:F218"/>
    <mergeCell ref="G213:G218"/>
    <mergeCell ref="K284:K285"/>
    <mergeCell ref="C86:C87"/>
    <mergeCell ref="H148:H149"/>
    <mergeCell ref="F148:F149"/>
    <mergeCell ref="G148:G149"/>
    <mergeCell ref="E141:E143"/>
    <mergeCell ref="E132:E133"/>
    <mergeCell ref="H134:H135"/>
    <mergeCell ref="C134:C135"/>
    <mergeCell ref="D134:D135"/>
    <mergeCell ref="A293:F293"/>
    <mergeCell ref="K175:K176"/>
    <mergeCell ref="I175:I176"/>
    <mergeCell ref="D175:D176"/>
    <mergeCell ref="B183:B184"/>
    <mergeCell ref="A183:A184"/>
    <mergeCell ref="D205:D210"/>
    <mergeCell ref="B180:B181"/>
    <mergeCell ref="A180:A181"/>
    <mergeCell ref="F284:F287"/>
    <mergeCell ref="E180:E181"/>
    <mergeCell ref="F180:F181"/>
    <mergeCell ref="G180:G181"/>
    <mergeCell ref="A200:A201"/>
    <mergeCell ref="B200:B201"/>
    <mergeCell ref="E200:E201"/>
    <mergeCell ref="D200:D201"/>
    <mergeCell ref="G183:G184"/>
    <mergeCell ref="A191:A193"/>
    <mergeCell ref="B191:B193"/>
    <mergeCell ref="A2:B3"/>
    <mergeCell ref="D2:D3"/>
    <mergeCell ref="K9:K10"/>
    <mergeCell ref="L9:L10"/>
    <mergeCell ref="J9:J10"/>
    <mergeCell ref="C68:C69"/>
    <mergeCell ref="H68:H69"/>
    <mergeCell ref="E41:E42"/>
    <mergeCell ref="C22:C23"/>
    <mergeCell ref="D22:D23"/>
    <mergeCell ref="O50:O51"/>
    <mergeCell ref="Q50:Q51"/>
    <mergeCell ref="R50:R51"/>
    <mergeCell ref="P61:P62"/>
    <mergeCell ref="A213:A218"/>
    <mergeCell ref="E130:E131"/>
    <mergeCell ref="E124:E129"/>
    <mergeCell ref="E175:E176"/>
    <mergeCell ref="E183:E184"/>
    <mergeCell ref="B82:B84"/>
    <mergeCell ref="A96:A98"/>
    <mergeCell ref="D96:D98"/>
    <mergeCell ref="A82:A84"/>
    <mergeCell ref="J41:J42"/>
    <mergeCell ref="M124:M129"/>
    <mergeCell ref="G102:G103"/>
    <mergeCell ref="K102:K103"/>
    <mergeCell ref="L102:L103"/>
    <mergeCell ref="H50:H51"/>
    <mergeCell ref="F41:F42"/>
    <mergeCell ref="H41:H42"/>
    <mergeCell ref="I41:I42"/>
    <mergeCell ref="G50:G51"/>
    <mergeCell ref="I50:I51"/>
    <mergeCell ref="F183:F184"/>
    <mergeCell ref="G175:G176"/>
    <mergeCell ref="F141:F143"/>
    <mergeCell ref="G141:G143"/>
    <mergeCell ref="H132:H133"/>
    <mergeCell ref="I180:I181"/>
    <mergeCell ref="P50:P51"/>
    <mergeCell ref="L141:L143"/>
    <mergeCell ref="L124:L129"/>
    <mergeCell ref="J213:J218"/>
    <mergeCell ref="A50:A51"/>
    <mergeCell ref="B50:B51"/>
    <mergeCell ref="D50:D51"/>
    <mergeCell ref="E50:E51"/>
    <mergeCell ref="F50:F51"/>
    <mergeCell ref="E61:E62"/>
    <mergeCell ref="N50:N51"/>
    <mergeCell ref="G83:G84"/>
    <mergeCell ref="H82:H84"/>
    <mergeCell ref="I82:I84"/>
    <mergeCell ref="N191:N192"/>
    <mergeCell ref="H70:H71"/>
    <mergeCell ref="L77:L78"/>
    <mergeCell ref="M77:M78"/>
    <mergeCell ref="J73:J74"/>
    <mergeCell ref="J96:J98"/>
    <mergeCell ref="A102:A103"/>
    <mergeCell ref="B102:B103"/>
    <mergeCell ref="E102:E103"/>
    <mergeCell ref="J141:J143"/>
    <mergeCell ref="K141:K143"/>
    <mergeCell ref="B141:B143"/>
    <mergeCell ref="K130:K131"/>
    <mergeCell ref="I141:I143"/>
    <mergeCell ref="H141:H143"/>
    <mergeCell ref="F132:F133"/>
    <mergeCell ref="B96:B98"/>
    <mergeCell ref="G130:G131"/>
    <mergeCell ref="H102:H103"/>
    <mergeCell ref="D128:D130"/>
    <mergeCell ref="G96:G98"/>
    <mergeCell ref="H96:H98"/>
    <mergeCell ref="G124:G129"/>
    <mergeCell ref="F96:F98"/>
    <mergeCell ref="B117:B119"/>
    <mergeCell ref="F124:F129"/>
    <mergeCell ref="M273:M275"/>
    <mergeCell ref="H273:H275"/>
    <mergeCell ref="I273:I275"/>
    <mergeCell ref="J273:J275"/>
    <mergeCell ref="R21:R23"/>
    <mergeCell ref="C31:C32"/>
    <mergeCell ref="H31:H32"/>
    <mergeCell ref="I31:I32"/>
    <mergeCell ref="J31:J32"/>
    <mergeCell ref="K31:K32"/>
    <mergeCell ref="E73:E74"/>
    <mergeCell ref="E83:E84"/>
    <mergeCell ref="Q75:Q78"/>
    <mergeCell ref="R75:R78"/>
    <mergeCell ref="E96:E98"/>
    <mergeCell ref="J77:J78"/>
    <mergeCell ref="J82:J84"/>
    <mergeCell ref="I96:I98"/>
    <mergeCell ref="Q96:Q98"/>
    <mergeCell ref="K86:K87"/>
    <mergeCell ref="R124:R131"/>
    <mergeCell ref="F130:F131"/>
    <mergeCell ref="R96:R98"/>
    <mergeCell ref="P85:P87"/>
    <mergeCell ref="Q85:Q87"/>
    <mergeCell ref="J155:J156"/>
    <mergeCell ref="K155:K156"/>
    <mergeCell ref="L155:L156"/>
    <mergeCell ref="M141:M143"/>
    <mergeCell ref="O155:O156"/>
    <mergeCell ref="H213:H218"/>
    <mergeCell ref="I183:I184"/>
    <mergeCell ref="J183:J184"/>
    <mergeCell ref="I200:I201"/>
    <mergeCell ref="J200:J201"/>
    <mergeCell ref="H202:H203"/>
    <mergeCell ref="H183:H184"/>
    <mergeCell ref="I205:I210"/>
    <mergeCell ref="A242:A245"/>
    <mergeCell ref="B242:B245"/>
    <mergeCell ref="E242:E245"/>
    <mergeCell ref="F242:F245"/>
    <mergeCell ref="G242:G245"/>
    <mergeCell ref="H242:H245"/>
    <mergeCell ref="K242:K243"/>
    <mergeCell ref="K244:K245"/>
    <mergeCell ref="L244:L245"/>
    <mergeCell ref="M244:M245"/>
    <mergeCell ref="L242:L243"/>
    <mergeCell ref="B9:B10"/>
    <mergeCell ref="M242:M243"/>
    <mergeCell ref="F200:F201"/>
    <mergeCell ref="G200:G201"/>
    <mergeCell ref="H200:H201"/>
    <mergeCell ref="A9:A12"/>
    <mergeCell ref="C155:C156"/>
    <mergeCell ref="D155:D156"/>
    <mergeCell ref="H155:H156"/>
    <mergeCell ref="I155:I156"/>
    <mergeCell ref="A202:A203"/>
    <mergeCell ref="B202:B203"/>
    <mergeCell ref="D202:D203"/>
    <mergeCell ref="E202:E203"/>
    <mergeCell ref="F202:F203"/>
    <mergeCell ref="G202:G203"/>
    <mergeCell ref="I202:I203"/>
    <mergeCell ref="J202:J203"/>
    <mergeCell ref="K205:K207"/>
    <mergeCell ref="K208:K210"/>
    <mergeCell ref="L208:L210"/>
    <mergeCell ref="M208:M210"/>
    <mergeCell ref="L205:L207"/>
    <mergeCell ref="M205:M207"/>
    <mergeCell ref="J205:J210"/>
    <mergeCell ref="D211:D212"/>
    <mergeCell ref="I211:I212"/>
    <mergeCell ref="J211:J212"/>
    <mergeCell ref="H211:H212"/>
    <mergeCell ref="G211:G212"/>
    <mergeCell ref="F211:F212"/>
    <mergeCell ref="E211:E212"/>
    <mergeCell ref="A226:A227"/>
    <mergeCell ref="B226:B227"/>
    <mergeCell ref="D226:D227"/>
    <mergeCell ref="E226:E227"/>
    <mergeCell ref="F226:F227"/>
    <mergeCell ref="F220:F222"/>
    <mergeCell ref="E213:E218"/>
    <mergeCell ref="H226:H227"/>
    <mergeCell ref="I226:I227"/>
    <mergeCell ref="J226:J227"/>
    <mergeCell ref="P226:P227"/>
    <mergeCell ref="A231:A232"/>
    <mergeCell ref="B231:B232"/>
    <mergeCell ref="E231:E232"/>
    <mergeCell ref="D231:D232"/>
    <mergeCell ref="F231:F232"/>
    <mergeCell ref="A228:A229"/>
    <mergeCell ref="B228:B229"/>
    <mergeCell ref="D228:D229"/>
    <mergeCell ref="E228:E229"/>
    <mergeCell ref="F228:F229"/>
    <mergeCell ref="G226:G227"/>
    <mergeCell ref="B238:B239"/>
    <mergeCell ref="I238:I239"/>
    <mergeCell ref="J238:J239"/>
    <mergeCell ref="P238:P239"/>
    <mergeCell ref="G231:G232"/>
    <mergeCell ref="H231:H232"/>
    <mergeCell ref="I231:I232"/>
    <mergeCell ref="J231:J232"/>
    <mergeCell ref="P231:P232"/>
    <mergeCell ref="H238:H239"/>
    <mergeCell ref="G228:G229"/>
    <mergeCell ref="H228:H229"/>
    <mergeCell ref="I228:I229"/>
    <mergeCell ref="J228:J229"/>
    <mergeCell ref="P228:P229"/>
    <mergeCell ref="J240:J241"/>
    <mergeCell ref="I240:I241"/>
    <mergeCell ref="H240:H241"/>
    <mergeCell ref="N238:N239"/>
    <mergeCell ref="O238:O239"/>
    <mergeCell ref="A238:A239"/>
    <mergeCell ref="D238:D239"/>
    <mergeCell ref="E238:E239"/>
    <mergeCell ref="F238:F239"/>
    <mergeCell ref="G238:G239"/>
    <mergeCell ref="G240:G241"/>
    <mergeCell ref="D240:D241"/>
    <mergeCell ref="B240:B241"/>
    <mergeCell ref="A240:A241"/>
    <mergeCell ref="E240:E241"/>
    <mergeCell ref="F240:F241"/>
    <mergeCell ref="F248:F249"/>
    <mergeCell ref="G248:G249"/>
    <mergeCell ref="I248:I249"/>
    <mergeCell ref="J248:J249"/>
    <mergeCell ref="P248:P249"/>
    <mergeCell ref="A250:A251"/>
    <mergeCell ref="B250:B251"/>
    <mergeCell ref="D250:D251"/>
    <mergeCell ref="E250:E251"/>
    <mergeCell ref="F250:F251"/>
    <mergeCell ref="I252:I253"/>
    <mergeCell ref="J252:J253"/>
    <mergeCell ref="P252:P253"/>
    <mergeCell ref="A254:A255"/>
    <mergeCell ref="B254:B255"/>
    <mergeCell ref="D254:D255"/>
    <mergeCell ref="E254:E255"/>
    <mergeCell ref="F254:F255"/>
    <mergeCell ref="G254:G255"/>
    <mergeCell ref="N252:N253"/>
    <mergeCell ref="O252:O253"/>
    <mergeCell ref="A252:A253"/>
    <mergeCell ref="A256:A257"/>
    <mergeCell ref="B256:B257"/>
    <mergeCell ref="D256:D257"/>
    <mergeCell ref="E256:E257"/>
    <mergeCell ref="F256:F257"/>
    <mergeCell ref="G256:G257"/>
    <mergeCell ref="I256:I257"/>
    <mergeCell ref="J256:J257"/>
    <mergeCell ref="P256:P257"/>
    <mergeCell ref="H254:H255"/>
    <mergeCell ref="I254:I255"/>
    <mergeCell ref="J254:J255"/>
    <mergeCell ref="P254:P255"/>
    <mergeCell ref="Q202:Q203"/>
    <mergeCell ref="N211:N212"/>
    <mergeCell ref="O211:O212"/>
    <mergeCell ref="Q211:Q212"/>
    <mergeCell ref="N226:N227"/>
    <mergeCell ref="R202:R203"/>
    <mergeCell ref="N200:N201"/>
    <mergeCell ref="O200:O201"/>
    <mergeCell ref="Q200:Q201"/>
    <mergeCell ref="R200:R201"/>
    <mergeCell ref="P202:P203"/>
    <mergeCell ref="P200:P201"/>
    <mergeCell ref="N202:N203"/>
    <mergeCell ref="O202:O203"/>
    <mergeCell ref="R226:R227"/>
    <mergeCell ref="N228:N229"/>
    <mergeCell ref="O228:O229"/>
    <mergeCell ref="Q228:Q229"/>
    <mergeCell ref="R228:R229"/>
    <mergeCell ref="N231:N232"/>
    <mergeCell ref="O231:O232"/>
    <mergeCell ref="Q231:Q232"/>
    <mergeCell ref="R231:R232"/>
    <mergeCell ref="Q238:Q239"/>
    <mergeCell ref="R238:R239"/>
    <mergeCell ref="N240:N241"/>
    <mergeCell ref="O240:O241"/>
    <mergeCell ref="Q240:Q241"/>
    <mergeCell ref="R240:R241"/>
    <mergeCell ref="P240:P241"/>
    <mergeCell ref="Q254:Q255"/>
    <mergeCell ref="R254:R255"/>
    <mergeCell ref="N248:N249"/>
    <mergeCell ref="O248:O249"/>
    <mergeCell ref="Q248:Q249"/>
    <mergeCell ref="R248:R249"/>
    <mergeCell ref="N250:N251"/>
    <mergeCell ref="O250:O251"/>
    <mergeCell ref="Q250:Q251"/>
    <mergeCell ref="R250:R251"/>
    <mergeCell ref="Q252:Q253"/>
    <mergeCell ref="R252:R253"/>
    <mergeCell ref="N254:N255"/>
    <mergeCell ref="O254:O255"/>
    <mergeCell ref="F258:F260"/>
    <mergeCell ref="G258:G260"/>
    <mergeCell ref="H258:H260"/>
    <mergeCell ref="J258:J260"/>
    <mergeCell ref="N258:N260"/>
    <mergeCell ref="O258:O260"/>
    <mergeCell ref="B270:B272"/>
    <mergeCell ref="D270:D272"/>
    <mergeCell ref="K270:K272"/>
    <mergeCell ref="L270:L272"/>
    <mergeCell ref="M270:M272"/>
    <mergeCell ref="A270:A272"/>
    <mergeCell ref="H270:H272"/>
    <mergeCell ref="I270:I272"/>
    <mergeCell ref="J270:J272"/>
    <mergeCell ref="G270:G272"/>
    <mergeCell ref="N54:N55"/>
    <mergeCell ref="O54:O55"/>
    <mergeCell ref="H191:H193"/>
    <mergeCell ref="I191:I193"/>
    <mergeCell ref="J191:J193"/>
    <mergeCell ref="N256:N257"/>
    <mergeCell ref="O256:O257"/>
    <mergeCell ref="K69:K71"/>
    <mergeCell ref="L69:L71"/>
    <mergeCell ref="M69:M71"/>
    <mergeCell ref="Q256:Q257"/>
    <mergeCell ref="R256:R257"/>
    <mergeCell ref="N270:N272"/>
    <mergeCell ref="O270:O272"/>
    <mergeCell ref="F270:F272"/>
    <mergeCell ref="E270:E272"/>
    <mergeCell ref="P258:P260"/>
    <mergeCell ref="Q258:Q260"/>
    <mergeCell ref="R258:R260"/>
    <mergeCell ref="H256:H257"/>
  </mergeCells>
  <dataValidations count="2">
    <dataValidation type="decimal" operator="greaterThan" allowBlank="1" showInputMessage="1" showErrorMessage="1" promptTitle="Проверка корректности" prompt="Введите число" errorTitle="Введите число!" error="Введите число!" sqref="N155:Q155 R279:S291 N266:Q292 Q5 O5:P7 O187:Q189 N190:Q197 Q12:Q13 N5:N10 R189:S189 N11:P13 N79:Q85 R90:S90 R92:S92 N63:Q68 R67:S67 R29:S29 N21:Q21 N38:S38 P39:Q39 N37:Q37 N54:N62 N33:Q35 P40:S43 N30:Q30 N36:S36 Q27:Q29 N24:P29 N39:O43 N20:S20 Q24 Q25:S26 O59:P62 O54:Q58 Q59:Q61 R57:S57 N52:Q53 N18:Q19 N44:N51 O44:S44 R49:S49 N72:Q75 O45:Q51 N88:Q119 N14:Q15 P120:Q124 P8:Q9 R122:S122 N136:Q139 N132:Q134 N120:O131 Q259 P254:Q258 N254:O259 N248:Q252 N233:Q240 R231:S231 N230:Q231 N224:Q228 P211:Q211 O204:O211 N211 O200:P200 O198:Q198 Q200:Q202 N202:P202 P204:Q205 Q242:Q245 R233:S237 P213:Q219 O213:O222 N213:N220 N204:N205 N157:P184 Q151:S151 Q162 Q161:S161 Q163:S163 N140:P154 N186:N189 R153:S153 R147:S147 R141:S145 R159:S159 R166:S166 Q140:Q150 Q157:Q160 R172:S172 N262:Q263 N264:S265 Q6:S7 P220:S220 N223:S223 O186:S186 R254:S255 N261:S261 N185:S185 Q183:Q184 Q182:S182 N242:P247">
      <formula1>-100000000000</formula1>
    </dataValidation>
    <dataValidation type="decimal" operator="greaterThan" allowBlank="1" showInputMessage="1" showErrorMessage="1" promptTitle="Проверка корректности" prompt="Введите число" errorTitle="Введите число!" error="Введите число!" sqref="O199:S199 N208 Q246:S246 R250:S251 R175:S177 Q152:Q154 Q164:Q181 O8:O10 R194:S194 N198:N200">
      <formula1>-100000000000</formula1>
    </dataValidation>
  </dataValidations>
  <printOptions/>
  <pageMargins left="0.3937007874015748" right="0" top="0.3937007874015748" bottom="0.1968503937007874" header="0.15748031496062992" footer="0.15748031496062992"/>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I133"/>
  <sheetViews>
    <sheetView zoomScalePageLayoutView="0" workbookViewId="0" topLeftCell="A1">
      <pane xSplit="1" ySplit="2" topLeftCell="D87" activePane="bottomRight" state="frozen"/>
      <selection pane="topLeft" activeCell="A1" sqref="A1"/>
      <selection pane="topRight" activeCell="B1" sqref="B1"/>
      <selection pane="bottomLeft" activeCell="A4" sqref="A4"/>
      <selection pane="bottomRight" activeCell="F126" sqref="F126"/>
    </sheetView>
  </sheetViews>
  <sheetFormatPr defaultColWidth="9.00390625" defaultRowHeight="12.75"/>
  <cols>
    <col min="1" max="1" width="59.375" style="114" customWidth="1"/>
    <col min="2" max="2" width="0.875" style="114" hidden="1" customWidth="1"/>
    <col min="3" max="3" width="6.375" style="114" hidden="1" customWidth="1"/>
    <col min="4" max="5" width="7.625" style="114" customWidth="1"/>
    <col min="6" max="6" width="7.75390625" style="114" customWidth="1"/>
    <col min="7" max="8" width="7.625" style="114" customWidth="1"/>
    <col min="9" max="9" width="7.75390625" style="114" customWidth="1"/>
    <col min="10" max="16384" width="9.125" style="114" customWidth="1"/>
  </cols>
  <sheetData>
    <row r="1" spans="1:8" s="2" customFormat="1" ht="28.5" customHeight="1">
      <c r="A1" s="208" t="s">
        <v>195</v>
      </c>
      <c r="B1" s="208"/>
      <c r="C1" s="208"/>
      <c r="D1" s="208"/>
      <c r="E1" s="208"/>
      <c r="F1" s="208"/>
      <c r="G1" s="208"/>
      <c r="H1" s="208"/>
    </row>
    <row r="2" spans="1:9" s="2" customFormat="1" ht="36.75" customHeight="1">
      <c r="A2" s="161" t="s">
        <v>31</v>
      </c>
      <c r="B2" s="110" t="s">
        <v>69</v>
      </c>
      <c r="C2" s="110" t="s">
        <v>177</v>
      </c>
      <c r="D2" s="161" t="s">
        <v>6</v>
      </c>
      <c r="E2" s="161"/>
      <c r="F2" s="195" t="s">
        <v>296</v>
      </c>
      <c r="G2" s="161" t="s">
        <v>498</v>
      </c>
      <c r="H2" s="207" t="s">
        <v>899</v>
      </c>
      <c r="I2" s="207" t="s">
        <v>1057</v>
      </c>
    </row>
    <row r="3" spans="1:9" s="2" customFormat="1" ht="24">
      <c r="A3" s="161"/>
      <c r="B3" s="110"/>
      <c r="C3" s="110"/>
      <c r="D3" s="12" t="s">
        <v>265</v>
      </c>
      <c r="E3" s="12" t="s">
        <v>266</v>
      </c>
      <c r="F3" s="186"/>
      <c r="G3" s="161"/>
      <c r="H3" s="207"/>
      <c r="I3" s="207"/>
    </row>
    <row r="4" spans="1:9" s="2" customFormat="1" ht="24" customHeight="1">
      <c r="A4" s="17" t="s">
        <v>372</v>
      </c>
      <c r="B4" s="17" t="s">
        <v>191</v>
      </c>
      <c r="C4" s="21"/>
      <c r="D4" s="83">
        <f>71500/1000</f>
        <v>71.5</v>
      </c>
      <c r="E4" s="83">
        <f>29468/1000</f>
        <v>29.468</v>
      </c>
      <c r="F4" s="83">
        <v>39</v>
      </c>
      <c r="G4" s="83">
        <v>0</v>
      </c>
      <c r="H4" s="83">
        <v>0</v>
      </c>
      <c r="I4" s="83">
        <v>0</v>
      </c>
    </row>
    <row r="5" spans="1:9" s="2" customFormat="1" ht="23.25" customHeight="1">
      <c r="A5" s="17" t="s">
        <v>86</v>
      </c>
      <c r="B5" s="17" t="s">
        <v>11</v>
      </c>
      <c r="C5" s="21">
        <v>100000</v>
      </c>
      <c r="D5" s="83">
        <f>112000/1000</f>
        <v>112</v>
      </c>
      <c r="E5" s="83">
        <f>100601/1000</f>
        <v>100.601</v>
      </c>
      <c r="F5" s="83">
        <v>110.8</v>
      </c>
      <c r="G5" s="83">
        <v>107</v>
      </c>
      <c r="H5" s="83">
        <v>0</v>
      </c>
      <c r="I5" s="83">
        <v>0</v>
      </c>
    </row>
    <row r="6" spans="1:9" s="2" customFormat="1" ht="23.25" customHeight="1">
      <c r="A6" s="11" t="s">
        <v>379</v>
      </c>
      <c r="B6" s="12"/>
      <c r="C6" s="21"/>
      <c r="D6" s="83">
        <f>360900/1000</f>
        <v>360.9</v>
      </c>
      <c r="E6" s="83">
        <f>360900/1000</f>
        <v>360.9</v>
      </c>
      <c r="F6" s="83">
        <v>0</v>
      </c>
      <c r="G6" s="83">
        <v>0</v>
      </c>
      <c r="H6" s="83">
        <v>0</v>
      </c>
      <c r="I6" s="83">
        <v>0</v>
      </c>
    </row>
    <row r="7" spans="1:9" s="2" customFormat="1" ht="24.75" customHeight="1">
      <c r="A7" s="17" t="s">
        <v>28</v>
      </c>
      <c r="B7" s="17" t="s">
        <v>1</v>
      </c>
      <c r="C7" s="21">
        <v>790700</v>
      </c>
      <c r="D7" s="83">
        <f>1029600/1000</f>
        <v>1029.6</v>
      </c>
      <c r="E7" s="83">
        <f>1029600/1000</f>
        <v>1029.6</v>
      </c>
      <c r="F7" s="83">
        <v>1133.4</v>
      </c>
      <c r="G7" s="83">
        <v>1155.8</v>
      </c>
      <c r="H7" s="83">
        <v>1186.8</v>
      </c>
      <c r="I7" s="83">
        <v>1186.8</v>
      </c>
    </row>
    <row r="8" spans="1:9" s="2" customFormat="1" ht="36.75" customHeight="1">
      <c r="A8" s="17" t="s">
        <v>295</v>
      </c>
      <c r="B8" s="17" t="s">
        <v>151</v>
      </c>
      <c r="C8" s="21"/>
      <c r="D8" s="83">
        <f>510000/1000</f>
        <v>510</v>
      </c>
      <c r="E8" s="83">
        <f>500000/1000</f>
        <v>500</v>
      </c>
      <c r="F8" s="83">
        <v>4250</v>
      </c>
      <c r="G8" s="83">
        <v>4250</v>
      </c>
      <c r="H8" s="83">
        <v>2975</v>
      </c>
      <c r="I8" s="83">
        <v>2975</v>
      </c>
    </row>
    <row r="9" spans="1:9" s="2" customFormat="1" ht="24.75" customHeight="1">
      <c r="A9" s="17" t="s">
        <v>207</v>
      </c>
      <c r="B9" s="12"/>
      <c r="C9" s="21"/>
      <c r="D9" s="83">
        <f>4525091.21/1000</f>
        <v>4525.09121</v>
      </c>
      <c r="E9" s="83">
        <f>3825091.21/1000</f>
        <v>3825.09121</v>
      </c>
      <c r="F9" s="83">
        <v>0</v>
      </c>
      <c r="G9" s="83">
        <v>0</v>
      </c>
      <c r="H9" s="83">
        <v>0</v>
      </c>
      <c r="I9" s="83">
        <v>0</v>
      </c>
    </row>
    <row r="10" spans="1:9" s="2" customFormat="1" ht="46.5" customHeight="1">
      <c r="A10" s="17" t="s">
        <v>369</v>
      </c>
      <c r="B10" s="17" t="s">
        <v>0</v>
      </c>
      <c r="C10" s="21">
        <v>3640000</v>
      </c>
      <c r="D10" s="83">
        <f>2376500/1000</f>
        <v>2376.5</v>
      </c>
      <c r="E10" s="83">
        <f>1541088.36/1000</f>
        <v>1541.0883600000002</v>
      </c>
      <c r="F10" s="83">
        <v>2072.3</v>
      </c>
      <c r="G10" s="83">
        <v>2072.3</v>
      </c>
      <c r="H10" s="83">
        <v>2072.3</v>
      </c>
      <c r="I10" s="83">
        <v>2072.3</v>
      </c>
    </row>
    <row r="11" spans="1:9" s="2" customFormat="1" ht="36.75" customHeight="1">
      <c r="A11" s="17" t="s">
        <v>368</v>
      </c>
      <c r="B11" s="17" t="s">
        <v>25</v>
      </c>
      <c r="C11" s="21"/>
      <c r="D11" s="83">
        <f>438600/1000</f>
        <v>438.6</v>
      </c>
      <c r="E11" s="83">
        <f>438600/1000</f>
        <v>438.6</v>
      </c>
      <c r="F11" s="83">
        <v>0</v>
      </c>
      <c r="G11" s="83">
        <v>0</v>
      </c>
      <c r="H11" s="83">
        <v>0</v>
      </c>
      <c r="I11" s="83">
        <v>0</v>
      </c>
    </row>
    <row r="12" spans="1:9" s="2" customFormat="1" ht="24.75" customHeight="1">
      <c r="A12" s="17" t="s">
        <v>370</v>
      </c>
      <c r="B12" s="17" t="s">
        <v>3</v>
      </c>
      <c r="C12" s="21">
        <v>3864000</v>
      </c>
      <c r="D12" s="83">
        <f>4136913/1000</f>
        <v>4136.913</v>
      </c>
      <c r="E12" s="83">
        <f>4108117.93/1000</f>
        <v>4108.11793</v>
      </c>
      <c r="F12" s="83">
        <v>4407.7</v>
      </c>
      <c r="G12" s="83">
        <v>4620.1</v>
      </c>
      <c r="H12" s="83">
        <v>4688</v>
      </c>
      <c r="I12" s="83">
        <v>4688</v>
      </c>
    </row>
    <row r="13" spans="1:9" s="2" customFormat="1" ht="60" customHeight="1">
      <c r="A13" s="17" t="s">
        <v>367</v>
      </c>
      <c r="B13" s="111" t="s">
        <v>68</v>
      </c>
      <c r="C13" s="21">
        <v>31653000</v>
      </c>
      <c r="D13" s="83">
        <f>(16705000+10000000)/1000</f>
        <v>26705</v>
      </c>
      <c r="E13" s="84">
        <f>26704936.24/1000</f>
        <v>26704.93624</v>
      </c>
      <c r="F13" s="83">
        <v>25453</v>
      </c>
      <c r="G13" s="83">
        <v>26853</v>
      </c>
      <c r="H13" s="83">
        <v>26853</v>
      </c>
      <c r="I13" s="83">
        <v>26853</v>
      </c>
    </row>
    <row r="14" spans="1:9" s="2" customFormat="1" ht="48" customHeight="1">
      <c r="A14" s="17" t="s">
        <v>891</v>
      </c>
      <c r="B14" s="111" t="s">
        <v>68</v>
      </c>
      <c r="C14" s="21">
        <v>7631000</v>
      </c>
      <c r="D14" s="83">
        <v>0</v>
      </c>
      <c r="E14" s="83">
        <v>0</v>
      </c>
      <c r="F14" s="83">
        <v>5000</v>
      </c>
      <c r="G14" s="83">
        <v>5310</v>
      </c>
      <c r="H14" s="83">
        <v>5586.1</v>
      </c>
      <c r="I14" s="83">
        <v>5859.8</v>
      </c>
    </row>
    <row r="15" spans="1:9" s="2" customFormat="1" ht="22.5" customHeight="1">
      <c r="A15" s="17" t="s">
        <v>371</v>
      </c>
      <c r="B15" s="17" t="s">
        <v>24</v>
      </c>
      <c r="C15" s="21">
        <v>17262000</v>
      </c>
      <c r="D15" s="83">
        <f>15892100/1000</f>
        <v>15892.1</v>
      </c>
      <c r="E15" s="83">
        <f>15483747.81/1000</f>
        <v>15483.74781</v>
      </c>
      <c r="F15" s="83">
        <v>21546.5</v>
      </c>
      <c r="G15" s="83">
        <v>24352.9</v>
      </c>
      <c r="H15" s="83">
        <v>26791.4</v>
      </c>
      <c r="I15" s="83">
        <v>26791.4</v>
      </c>
    </row>
    <row r="16" spans="1:9" s="2" customFormat="1" ht="22.5" customHeight="1">
      <c r="A16" s="11" t="s">
        <v>704</v>
      </c>
      <c r="B16" s="12"/>
      <c r="C16" s="21"/>
      <c r="D16" s="83">
        <f>1000000/1000</f>
        <v>1000</v>
      </c>
      <c r="E16" s="83">
        <f>1000000/1000</f>
        <v>1000</v>
      </c>
      <c r="F16" s="83">
        <v>0</v>
      </c>
      <c r="G16" s="83">
        <v>0</v>
      </c>
      <c r="H16" s="83">
        <v>0</v>
      </c>
      <c r="I16" s="83">
        <v>0</v>
      </c>
    </row>
    <row r="17" spans="1:9" s="2" customFormat="1" ht="23.25" customHeight="1">
      <c r="A17" s="11" t="s">
        <v>471</v>
      </c>
      <c r="B17" s="12"/>
      <c r="C17" s="21"/>
      <c r="D17" s="83">
        <f>17115/1000</f>
        <v>17.115</v>
      </c>
      <c r="E17" s="83">
        <f>17115/1000</f>
        <v>17.115</v>
      </c>
      <c r="F17" s="83">
        <v>0</v>
      </c>
      <c r="G17" s="83">
        <v>0</v>
      </c>
      <c r="H17" s="83">
        <v>0</v>
      </c>
      <c r="I17" s="83">
        <v>0</v>
      </c>
    </row>
    <row r="18" spans="1:9" s="2" customFormat="1" ht="13.5" customHeight="1">
      <c r="A18" s="11" t="s">
        <v>472</v>
      </c>
      <c r="B18" s="12"/>
      <c r="C18" s="21"/>
      <c r="D18" s="83">
        <f>24157/1000</f>
        <v>24.157</v>
      </c>
      <c r="E18" s="83">
        <f>24157/1000</f>
        <v>24.157</v>
      </c>
      <c r="F18" s="83">
        <v>0</v>
      </c>
      <c r="G18" s="83">
        <v>0</v>
      </c>
      <c r="H18" s="83">
        <v>0</v>
      </c>
      <c r="I18" s="83">
        <v>0</v>
      </c>
    </row>
    <row r="19" spans="1:9" s="2" customFormat="1" ht="24" customHeight="1">
      <c r="A19" s="11" t="s">
        <v>473</v>
      </c>
      <c r="B19" s="12"/>
      <c r="C19" s="21"/>
      <c r="D19" s="83">
        <f>92843/1000</f>
        <v>92.843</v>
      </c>
      <c r="E19" s="83">
        <f>92843/1000</f>
        <v>92.843</v>
      </c>
      <c r="F19" s="83">
        <v>0</v>
      </c>
      <c r="G19" s="83">
        <v>0</v>
      </c>
      <c r="H19" s="83">
        <v>0</v>
      </c>
      <c r="I19" s="83">
        <v>0</v>
      </c>
    </row>
    <row r="20" spans="1:9" s="2" customFormat="1" ht="24" customHeight="1">
      <c r="A20" s="11" t="s">
        <v>474</v>
      </c>
      <c r="B20" s="12"/>
      <c r="C20" s="21"/>
      <c r="D20" s="83">
        <f>93000/1000</f>
        <v>93</v>
      </c>
      <c r="E20" s="83">
        <f>93000/1000</f>
        <v>93</v>
      </c>
      <c r="F20" s="83">
        <v>0</v>
      </c>
      <c r="G20" s="83">
        <v>0</v>
      </c>
      <c r="H20" s="83">
        <v>0</v>
      </c>
      <c r="I20" s="83">
        <v>0</v>
      </c>
    </row>
    <row r="21" spans="1:9" s="2" customFormat="1" ht="24" customHeight="1">
      <c r="A21" s="11" t="s">
        <v>475</v>
      </c>
      <c r="B21" s="12"/>
      <c r="C21" s="21"/>
      <c r="D21" s="83">
        <f>100000/1000</f>
        <v>100</v>
      </c>
      <c r="E21" s="83">
        <f>100000/1000</f>
        <v>100</v>
      </c>
      <c r="F21" s="83">
        <v>0</v>
      </c>
      <c r="G21" s="83">
        <v>0</v>
      </c>
      <c r="H21" s="83">
        <v>0</v>
      </c>
      <c r="I21" s="83">
        <v>0</v>
      </c>
    </row>
    <row r="22" spans="1:9" s="2" customFormat="1" ht="24" customHeight="1">
      <c r="A22" s="11" t="s">
        <v>476</v>
      </c>
      <c r="B22" s="12"/>
      <c r="C22" s="21"/>
      <c r="D22" s="83">
        <f>172000/1000</f>
        <v>172</v>
      </c>
      <c r="E22" s="83">
        <f>172000/1000</f>
        <v>172</v>
      </c>
      <c r="F22" s="83">
        <v>0</v>
      </c>
      <c r="G22" s="83">
        <v>0</v>
      </c>
      <c r="H22" s="83">
        <v>0</v>
      </c>
      <c r="I22" s="83">
        <v>0</v>
      </c>
    </row>
    <row r="23" spans="1:9" s="2" customFormat="1" ht="27" customHeight="1">
      <c r="A23" s="11" t="s">
        <v>477</v>
      </c>
      <c r="B23" s="12"/>
      <c r="C23" s="21"/>
      <c r="D23" s="83">
        <f>180000/1000</f>
        <v>180</v>
      </c>
      <c r="E23" s="83">
        <f>180000/1000</f>
        <v>180</v>
      </c>
      <c r="F23" s="83">
        <v>0</v>
      </c>
      <c r="G23" s="83">
        <v>0</v>
      </c>
      <c r="H23" s="83">
        <v>0</v>
      </c>
      <c r="I23" s="83">
        <v>0</v>
      </c>
    </row>
    <row r="24" spans="1:9" s="2" customFormat="1" ht="46.5" customHeight="1">
      <c r="A24" s="11" t="s">
        <v>478</v>
      </c>
      <c r="B24" s="12"/>
      <c r="C24" s="21"/>
      <c r="D24" s="83">
        <f>909093.2/1000</f>
        <v>909.0931999999999</v>
      </c>
      <c r="E24" s="83">
        <f>646284.35/1000</f>
        <v>646.28435</v>
      </c>
      <c r="F24" s="83">
        <v>1270</v>
      </c>
      <c r="G24" s="83">
        <v>0</v>
      </c>
      <c r="H24" s="83">
        <v>0</v>
      </c>
      <c r="I24" s="83">
        <v>0</v>
      </c>
    </row>
    <row r="25" spans="1:9" s="2" customFormat="1" ht="23.25" customHeight="1">
      <c r="A25" s="11" t="s">
        <v>479</v>
      </c>
      <c r="B25" s="12"/>
      <c r="C25" s="21"/>
      <c r="D25" s="83">
        <f>2800000/1000</f>
        <v>2800</v>
      </c>
      <c r="E25" s="83">
        <f>2369309/1000</f>
        <v>2369.309</v>
      </c>
      <c r="F25" s="83">
        <v>0</v>
      </c>
      <c r="G25" s="83">
        <v>0</v>
      </c>
      <c r="H25" s="83">
        <v>0</v>
      </c>
      <c r="I25" s="83">
        <v>0</v>
      </c>
    </row>
    <row r="26" spans="1:9" s="2" customFormat="1" ht="23.25" customHeight="1">
      <c r="A26" s="11" t="s">
        <v>480</v>
      </c>
      <c r="B26" s="12"/>
      <c r="C26" s="21"/>
      <c r="D26" s="83">
        <f>4987179/1000</f>
        <v>4987.179</v>
      </c>
      <c r="E26" s="83">
        <f>4987179/1000</f>
        <v>4987.179</v>
      </c>
      <c r="F26" s="83">
        <v>0</v>
      </c>
      <c r="G26" s="83">
        <v>0</v>
      </c>
      <c r="H26" s="83">
        <v>0</v>
      </c>
      <c r="I26" s="83">
        <v>0</v>
      </c>
    </row>
    <row r="27" spans="1:9" s="2" customFormat="1" ht="24" customHeight="1">
      <c r="A27" s="11" t="s">
        <v>611</v>
      </c>
      <c r="B27" s="12"/>
      <c r="C27" s="21"/>
      <c r="D27" s="83">
        <f>42550/1000</f>
        <v>42.55</v>
      </c>
      <c r="E27" s="83">
        <f>42550/1000</f>
        <v>42.55</v>
      </c>
      <c r="F27" s="83">
        <v>0</v>
      </c>
      <c r="G27" s="83">
        <v>0</v>
      </c>
      <c r="H27" s="83">
        <v>0</v>
      </c>
      <c r="I27" s="83">
        <v>0</v>
      </c>
    </row>
    <row r="28" spans="1:9" s="2" customFormat="1" ht="24.75" customHeight="1">
      <c r="A28" s="11" t="s">
        <v>612</v>
      </c>
      <c r="B28" s="12"/>
      <c r="C28" s="21"/>
      <c r="D28" s="83">
        <f>97018/1000</f>
        <v>97.018</v>
      </c>
      <c r="E28" s="83">
        <f>97018/1000</f>
        <v>97.018</v>
      </c>
      <c r="F28" s="83">
        <v>0</v>
      </c>
      <c r="G28" s="83">
        <v>0</v>
      </c>
      <c r="H28" s="83">
        <v>0</v>
      </c>
      <c r="I28" s="83">
        <v>0</v>
      </c>
    </row>
    <row r="29" spans="1:9" s="2" customFormat="1" ht="23.25" customHeight="1">
      <c r="A29" s="11" t="s">
        <v>613</v>
      </c>
      <c r="B29" s="12"/>
      <c r="C29" s="21"/>
      <c r="D29" s="83">
        <f>140000/1000</f>
        <v>140</v>
      </c>
      <c r="E29" s="83">
        <f>140000/1000</f>
        <v>140</v>
      </c>
      <c r="F29" s="83">
        <v>0</v>
      </c>
      <c r="G29" s="83">
        <v>0</v>
      </c>
      <c r="H29" s="83">
        <v>0</v>
      </c>
      <c r="I29" s="83">
        <v>0</v>
      </c>
    </row>
    <row r="30" spans="1:9" s="2" customFormat="1" ht="36" customHeight="1">
      <c r="A30" s="11" t="s">
        <v>614</v>
      </c>
      <c r="B30" s="12"/>
      <c r="C30" s="21"/>
      <c r="D30" s="83">
        <f>1244800/1000</f>
        <v>1244.8</v>
      </c>
      <c r="E30" s="83">
        <f>1244800/1000</f>
        <v>1244.8</v>
      </c>
      <c r="F30" s="83">
        <v>0</v>
      </c>
      <c r="G30" s="83">
        <v>0</v>
      </c>
      <c r="H30" s="83">
        <v>0</v>
      </c>
      <c r="I30" s="83">
        <v>0</v>
      </c>
    </row>
    <row r="31" spans="1:9" s="2" customFormat="1" ht="36.75" customHeight="1">
      <c r="A31" s="11" t="s">
        <v>615</v>
      </c>
      <c r="B31" s="12"/>
      <c r="C31" s="21"/>
      <c r="D31" s="83">
        <f>1387500/1000</f>
        <v>1387.5</v>
      </c>
      <c r="E31" s="83">
        <f>1387500/1000</f>
        <v>1387.5</v>
      </c>
      <c r="F31" s="83">
        <v>0</v>
      </c>
      <c r="G31" s="83">
        <v>0</v>
      </c>
      <c r="H31" s="83">
        <v>0</v>
      </c>
      <c r="I31" s="83">
        <v>0</v>
      </c>
    </row>
    <row r="32" spans="1:9" s="2" customFormat="1" ht="36" customHeight="1">
      <c r="A32" s="11" t="s">
        <v>655</v>
      </c>
      <c r="B32" s="12"/>
      <c r="C32" s="21"/>
      <c r="D32" s="83">
        <f>19300/1000</f>
        <v>19.3</v>
      </c>
      <c r="E32" s="83">
        <f>19300/1000</f>
        <v>19.3</v>
      </c>
      <c r="F32" s="83">
        <v>0</v>
      </c>
      <c r="G32" s="83">
        <v>0</v>
      </c>
      <c r="H32" s="83">
        <v>0</v>
      </c>
      <c r="I32" s="83">
        <v>0</v>
      </c>
    </row>
    <row r="33" spans="1:9" s="2" customFormat="1" ht="60" customHeight="1">
      <c r="A33" s="11" t="s">
        <v>656</v>
      </c>
      <c r="B33" s="12"/>
      <c r="C33" s="21"/>
      <c r="D33" s="83">
        <f>43000/1000</f>
        <v>43</v>
      </c>
      <c r="E33" s="83">
        <f>43000/1000</f>
        <v>43</v>
      </c>
      <c r="F33" s="83">
        <v>0</v>
      </c>
      <c r="G33" s="83">
        <v>0</v>
      </c>
      <c r="H33" s="83">
        <v>0</v>
      </c>
      <c r="I33" s="83">
        <v>0</v>
      </c>
    </row>
    <row r="34" spans="1:9" s="2" customFormat="1" ht="35.25" customHeight="1">
      <c r="A34" s="11" t="s">
        <v>805</v>
      </c>
      <c r="B34" s="12"/>
      <c r="C34" s="21"/>
      <c r="D34" s="83">
        <f>50000/1000</f>
        <v>50</v>
      </c>
      <c r="E34" s="83">
        <f>28351.14/1000</f>
        <v>28.35114</v>
      </c>
      <c r="F34" s="83">
        <v>0</v>
      </c>
      <c r="G34" s="83">
        <v>0</v>
      </c>
      <c r="H34" s="83">
        <v>0</v>
      </c>
      <c r="I34" s="83">
        <v>0</v>
      </c>
    </row>
    <row r="35" spans="1:9" s="2" customFormat="1" ht="35.25" customHeight="1">
      <c r="A35" s="11" t="s">
        <v>657</v>
      </c>
      <c r="B35" s="12"/>
      <c r="C35" s="21"/>
      <c r="D35" s="83">
        <f>99000/1000</f>
        <v>99</v>
      </c>
      <c r="E35" s="83">
        <f>99000/1000</f>
        <v>99</v>
      </c>
      <c r="F35" s="83">
        <v>0</v>
      </c>
      <c r="G35" s="83">
        <v>0</v>
      </c>
      <c r="H35" s="83">
        <v>0</v>
      </c>
      <c r="I35" s="83">
        <v>0</v>
      </c>
    </row>
    <row r="36" spans="1:9" s="2" customFormat="1" ht="23.25" customHeight="1">
      <c r="A36" s="11" t="s">
        <v>658</v>
      </c>
      <c r="B36" s="12"/>
      <c r="C36" s="21"/>
      <c r="D36" s="83">
        <f>100000/1000</f>
        <v>100</v>
      </c>
      <c r="E36" s="83">
        <f>100000/1000</f>
        <v>100</v>
      </c>
      <c r="F36" s="83">
        <v>0</v>
      </c>
      <c r="G36" s="83">
        <v>0</v>
      </c>
      <c r="H36" s="83">
        <v>0</v>
      </c>
      <c r="I36" s="83">
        <v>0</v>
      </c>
    </row>
    <row r="37" spans="1:9" s="2" customFormat="1" ht="28.5" customHeight="1">
      <c r="A37" s="11" t="s">
        <v>659</v>
      </c>
      <c r="B37" s="12"/>
      <c r="C37" s="21"/>
      <c r="D37" s="83">
        <f>100000/1000</f>
        <v>100</v>
      </c>
      <c r="E37" s="83">
        <f>100000/1000</f>
        <v>100</v>
      </c>
      <c r="F37" s="83">
        <v>0</v>
      </c>
      <c r="G37" s="83">
        <v>0</v>
      </c>
      <c r="H37" s="83">
        <v>0</v>
      </c>
      <c r="I37" s="83">
        <v>0</v>
      </c>
    </row>
    <row r="38" spans="1:9" s="2" customFormat="1" ht="24.75" customHeight="1">
      <c r="A38" s="11" t="s">
        <v>660</v>
      </c>
      <c r="B38" s="12"/>
      <c r="C38" s="21"/>
      <c r="D38" s="83">
        <f>160000/1000</f>
        <v>160</v>
      </c>
      <c r="E38" s="83">
        <f>160000/1000</f>
        <v>160</v>
      </c>
      <c r="F38" s="83">
        <v>0</v>
      </c>
      <c r="G38" s="83">
        <v>0</v>
      </c>
      <c r="H38" s="83">
        <v>0</v>
      </c>
      <c r="I38" s="83">
        <v>0</v>
      </c>
    </row>
    <row r="39" spans="1:9" s="2" customFormat="1" ht="25.5" customHeight="1">
      <c r="A39" s="11" t="s">
        <v>661</v>
      </c>
      <c r="B39" s="12"/>
      <c r="C39" s="21"/>
      <c r="D39" s="83">
        <f>200000/1000</f>
        <v>200</v>
      </c>
      <c r="E39" s="83">
        <f>200000/1000</f>
        <v>200</v>
      </c>
      <c r="F39" s="83">
        <v>0</v>
      </c>
      <c r="G39" s="83">
        <v>0</v>
      </c>
      <c r="H39" s="83">
        <v>0</v>
      </c>
      <c r="I39" s="83">
        <v>0</v>
      </c>
    </row>
    <row r="40" spans="1:9" s="2" customFormat="1" ht="26.25" customHeight="1">
      <c r="A40" s="11" t="s">
        <v>662</v>
      </c>
      <c r="B40" s="12"/>
      <c r="C40" s="21"/>
      <c r="D40" s="83">
        <f>295000/1000</f>
        <v>295</v>
      </c>
      <c r="E40" s="83">
        <f>295000/1000</f>
        <v>295</v>
      </c>
      <c r="F40" s="83">
        <v>0</v>
      </c>
      <c r="G40" s="83">
        <v>0</v>
      </c>
      <c r="H40" s="83">
        <v>0</v>
      </c>
      <c r="I40" s="83">
        <v>0</v>
      </c>
    </row>
    <row r="41" spans="1:9" s="2" customFormat="1" ht="26.25" customHeight="1">
      <c r="A41" s="11" t="s">
        <v>663</v>
      </c>
      <c r="B41" s="12"/>
      <c r="C41" s="21"/>
      <c r="D41" s="83">
        <f>600000/1000</f>
        <v>600</v>
      </c>
      <c r="E41" s="83">
        <f>600000/1000</f>
        <v>600</v>
      </c>
      <c r="F41" s="83">
        <v>0</v>
      </c>
      <c r="G41" s="83">
        <v>0</v>
      </c>
      <c r="H41" s="83">
        <v>0</v>
      </c>
      <c r="I41" s="83">
        <v>0</v>
      </c>
    </row>
    <row r="42" spans="1:9" s="2" customFormat="1" ht="62.25" customHeight="1">
      <c r="A42" s="11" t="s">
        <v>870</v>
      </c>
      <c r="B42" s="12"/>
      <c r="C42" s="21"/>
      <c r="D42" s="83">
        <f>3000000/1000</f>
        <v>3000</v>
      </c>
      <c r="E42" s="83">
        <f>3000000/1000</f>
        <v>3000</v>
      </c>
      <c r="F42" s="83">
        <v>0</v>
      </c>
      <c r="G42" s="83">
        <v>0</v>
      </c>
      <c r="H42" s="83">
        <v>0</v>
      </c>
      <c r="I42" s="83">
        <v>0</v>
      </c>
    </row>
    <row r="43" spans="1:9" s="2" customFormat="1" ht="27" customHeight="1">
      <c r="A43" s="11" t="s">
        <v>664</v>
      </c>
      <c r="B43" s="12"/>
      <c r="C43" s="21"/>
      <c r="D43" s="83">
        <f>1990600/1000</f>
        <v>1990.6</v>
      </c>
      <c r="E43" s="83">
        <f>1669100/1000</f>
        <v>1669.1</v>
      </c>
      <c r="F43" s="83">
        <v>321.5</v>
      </c>
      <c r="G43" s="83">
        <v>0</v>
      </c>
      <c r="H43" s="83">
        <v>0</v>
      </c>
      <c r="I43" s="83">
        <v>0</v>
      </c>
    </row>
    <row r="44" spans="1:9" s="2" customFormat="1" ht="40.5" customHeight="1">
      <c r="A44" s="11" t="s">
        <v>705</v>
      </c>
      <c r="B44" s="12"/>
      <c r="C44" s="21"/>
      <c r="D44" s="83">
        <f>40900/1000</f>
        <v>40.9</v>
      </c>
      <c r="E44" s="83">
        <f>40900/1000</f>
        <v>40.9</v>
      </c>
      <c r="F44" s="83">
        <v>0</v>
      </c>
      <c r="G44" s="83">
        <v>0</v>
      </c>
      <c r="H44" s="83">
        <v>0</v>
      </c>
      <c r="I44" s="83">
        <v>0</v>
      </c>
    </row>
    <row r="45" spans="1:9" s="2" customFormat="1" ht="40.5" customHeight="1">
      <c r="A45" s="11" t="s">
        <v>706</v>
      </c>
      <c r="B45" s="12"/>
      <c r="C45" s="21"/>
      <c r="D45" s="83">
        <f>98216/1000</f>
        <v>98.216</v>
      </c>
      <c r="E45" s="83">
        <f>98216/1000</f>
        <v>98.216</v>
      </c>
      <c r="F45" s="83">
        <v>0</v>
      </c>
      <c r="G45" s="83">
        <v>0</v>
      </c>
      <c r="H45" s="83">
        <v>0</v>
      </c>
      <c r="I45" s="83">
        <v>0</v>
      </c>
    </row>
    <row r="46" spans="1:9" s="2" customFormat="1" ht="28.5" customHeight="1">
      <c r="A46" s="11" t="s">
        <v>707</v>
      </c>
      <c r="B46" s="12"/>
      <c r="C46" s="21"/>
      <c r="D46" s="83">
        <f>98500/1000</f>
        <v>98.5</v>
      </c>
      <c r="E46" s="83">
        <f>98500/1000</f>
        <v>98.5</v>
      </c>
      <c r="F46" s="83">
        <v>0</v>
      </c>
      <c r="G46" s="83">
        <v>0</v>
      </c>
      <c r="H46" s="83">
        <v>0</v>
      </c>
      <c r="I46" s="83">
        <v>0</v>
      </c>
    </row>
    <row r="47" spans="1:9" s="2" customFormat="1" ht="42" customHeight="1">
      <c r="A47" s="11" t="s">
        <v>708</v>
      </c>
      <c r="B47" s="12"/>
      <c r="C47" s="21"/>
      <c r="D47" s="83">
        <f>99360/1000</f>
        <v>99.36</v>
      </c>
      <c r="E47" s="83">
        <f>99360/1000</f>
        <v>99.36</v>
      </c>
      <c r="F47" s="83">
        <v>0</v>
      </c>
      <c r="G47" s="83">
        <v>0</v>
      </c>
      <c r="H47" s="83">
        <v>0</v>
      </c>
      <c r="I47" s="83">
        <v>0</v>
      </c>
    </row>
    <row r="48" spans="1:9" s="2" customFormat="1" ht="38.25" customHeight="1">
      <c r="A48" s="11" t="s">
        <v>736</v>
      </c>
      <c r="B48" s="12"/>
      <c r="C48" s="21"/>
      <c r="D48" s="83">
        <f>99860/1000</f>
        <v>99.86</v>
      </c>
      <c r="E48" s="83">
        <f>99860/1000</f>
        <v>99.86</v>
      </c>
      <c r="F48" s="83">
        <v>0</v>
      </c>
      <c r="G48" s="83">
        <v>0</v>
      </c>
      <c r="H48" s="83">
        <v>0</v>
      </c>
      <c r="I48" s="83">
        <v>0</v>
      </c>
    </row>
    <row r="49" spans="1:9" s="2" customFormat="1" ht="26.25" customHeight="1">
      <c r="A49" s="11" t="s">
        <v>737</v>
      </c>
      <c r="B49" s="12"/>
      <c r="C49" s="21"/>
      <c r="D49" s="83">
        <f>146000/1000</f>
        <v>146</v>
      </c>
      <c r="E49" s="83">
        <f>146000/1000</f>
        <v>146</v>
      </c>
      <c r="F49" s="83">
        <v>0</v>
      </c>
      <c r="G49" s="83">
        <v>0</v>
      </c>
      <c r="H49" s="83">
        <v>0</v>
      </c>
      <c r="I49" s="83">
        <v>0</v>
      </c>
    </row>
    <row r="50" spans="1:9" s="2" customFormat="1" ht="42" customHeight="1">
      <c r="A50" s="11" t="s">
        <v>738</v>
      </c>
      <c r="B50" s="12"/>
      <c r="C50" s="21"/>
      <c r="D50" s="83">
        <f>177976/1000</f>
        <v>177.976</v>
      </c>
      <c r="E50" s="83">
        <f>177976/1000</f>
        <v>177.976</v>
      </c>
      <c r="F50" s="83">
        <v>0</v>
      </c>
      <c r="G50" s="83">
        <v>0</v>
      </c>
      <c r="H50" s="83">
        <v>0</v>
      </c>
      <c r="I50" s="83">
        <v>0</v>
      </c>
    </row>
    <row r="51" spans="1:9" s="2" customFormat="1" ht="27" customHeight="1">
      <c r="A51" s="11" t="s">
        <v>27</v>
      </c>
      <c r="B51" s="12"/>
      <c r="C51" s="21"/>
      <c r="D51" s="83">
        <f>171781.42/1000</f>
        <v>171.78142000000003</v>
      </c>
      <c r="E51" s="83">
        <f>171781.42/1000</f>
        <v>171.78142000000003</v>
      </c>
      <c r="F51" s="83">
        <v>0</v>
      </c>
      <c r="G51" s="83">
        <v>0</v>
      </c>
      <c r="H51" s="83">
        <v>0</v>
      </c>
      <c r="I51" s="83">
        <v>0</v>
      </c>
    </row>
    <row r="52" spans="1:9" s="2" customFormat="1" ht="14.25" customHeight="1">
      <c r="A52" s="11" t="s">
        <v>739</v>
      </c>
      <c r="B52" s="12"/>
      <c r="C52" s="21"/>
      <c r="D52" s="83">
        <f>199500/1000</f>
        <v>199.5</v>
      </c>
      <c r="E52" s="83">
        <f>199500/1000</f>
        <v>199.5</v>
      </c>
      <c r="F52" s="83">
        <v>0</v>
      </c>
      <c r="G52" s="83">
        <v>0</v>
      </c>
      <c r="H52" s="83">
        <v>0</v>
      </c>
      <c r="I52" s="83">
        <v>0</v>
      </c>
    </row>
    <row r="53" spans="1:9" s="2" customFormat="1" ht="38.25" customHeight="1">
      <c r="A53" s="11" t="s">
        <v>740</v>
      </c>
      <c r="B53" s="12"/>
      <c r="C53" s="21"/>
      <c r="D53" s="83">
        <f>205000/1000</f>
        <v>205</v>
      </c>
      <c r="E53" s="83">
        <f>205000/1000</f>
        <v>205</v>
      </c>
      <c r="F53" s="83">
        <v>0</v>
      </c>
      <c r="G53" s="83">
        <v>0</v>
      </c>
      <c r="H53" s="83">
        <v>0</v>
      </c>
      <c r="I53" s="83">
        <v>0</v>
      </c>
    </row>
    <row r="54" spans="1:9" s="2" customFormat="1" ht="38.25" customHeight="1">
      <c r="A54" s="11" t="s">
        <v>741</v>
      </c>
      <c r="B54" s="12"/>
      <c r="C54" s="21"/>
      <c r="D54" s="83">
        <f>239000/1000</f>
        <v>239</v>
      </c>
      <c r="E54" s="83">
        <f>239000/1000</f>
        <v>239</v>
      </c>
      <c r="F54" s="83">
        <v>0</v>
      </c>
      <c r="G54" s="83">
        <v>0</v>
      </c>
      <c r="H54" s="83">
        <v>0</v>
      </c>
      <c r="I54" s="83">
        <v>0</v>
      </c>
    </row>
    <row r="55" spans="1:9" s="2" customFormat="1" ht="38.25" customHeight="1">
      <c r="A55" s="11" t="s">
        <v>742</v>
      </c>
      <c r="B55" s="12"/>
      <c r="C55" s="21"/>
      <c r="D55" s="83">
        <f>279684/1000</f>
        <v>279.684</v>
      </c>
      <c r="E55" s="83">
        <f>220316/1000</f>
        <v>220.316</v>
      </c>
      <c r="F55" s="83">
        <v>0</v>
      </c>
      <c r="G55" s="83">
        <v>0</v>
      </c>
      <c r="H55" s="83">
        <v>0</v>
      </c>
      <c r="I55" s="83">
        <v>0</v>
      </c>
    </row>
    <row r="56" spans="1:9" s="2" customFormat="1" ht="38.25" customHeight="1">
      <c r="A56" s="11" t="s">
        <v>743</v>
      </c>
      <c r="B56" s="12"/>
      <c r="C56" s="21"/>
      <c r="D56" s="83">
        <f>355397/1000</f>
        <v>355.397</v>
      </c>
      <c r="E56" s="83">
        <f>355397/1000</f>
        <v>355.397</v>
      </c>
      <c r="F56" s="83">
        <v>0</v>
      </c>
      <c r="G56" s="83">
        <v>0</v>
      </c>
      <c r="H56" s="83">
        <v>0</v>
      </c>
      <c r="I56" s="83">
        <v>0</v>
      </c>
    </row>
    <row r="57" spans="1:9" s="2" customFormat="1" ht="24" customHeight="1">
      <c r="A57" s="11" t="s">
        <v>744</v>
      </c>
      <c r="B57" s="12"/>
      <c r="C57" s="21"/>
      <c r="D57" s="83">
        <f>813500/1000</f>
        <v>813.5</v>
      </c>
      <c r="E57" s="83">
        <f>813500/1000</f>
        <v>813.5</v>
      </c>
      <c r="F57" s="83">
        <v>0</v>
      </c>
      <c r="G57" s="83">
        <v>0</v>
      </c>
      <c r="H57" s="83">
        <v>0</v>
      </c>
      <c r="I57" s="83">
        <v>0</v>
      </c>
    </row>
    <row r="58" spans="1:9" s="2" customFormat="1" ht="26.25" customHeight="1">
      <c r="A58" s="11" t="s">
        <v>745</v>
      </c>
      <c r="B58" s="12"/>
      <c r="C58" s="21"/>
      <c r="D58" s="83">
        <f>813500/1000</f>
        <v>813.5</v>
      </c>
      <c r="E58" s="83">
        <f>813500/1000</f>
        <v>813.5</v>
      </c>
      <c r="F58" s="83">
        <v>0</v>
      </c>
      <c r="G58" s="83">
        <v>0</v>
      </c>
      <c r="H58" s="83">
        <v>0</v>
      </c>
      <c r="I58" s="83">
        <v>0</v>
      </c>
    </row>
    <row r="59" spans="1:9" s="2" customFormat="1" ht="27" customHeight="1">
      <c r="A59" s="11" t="s">
        <v>746</v>
      </c>
      <c r="B59" s="12"/>
      <c r="C59" s="21"/>
      <c r="D59" s="83">
        <f>907800/1000</f>
        <v>907.8</v>
      </c>
      <c r="E59" s="83">
        <f>907800/1000</f>
        <v>907.8</v>
      </c>
      <c r="F59" s="83">
        <v>0</v>
      </c>
      <c r="G59" s="83">
        <v>0</v>
      </c>
      <c r="H59" s="83">
        <v>0</v>
      </c>
      <c r="I59" s="83">
        <v>0</v>
      </c>
    </row>
    <row r="60" spans="1:9" s="2" customFormat="1" ht="25.5" customHeight="1">
      <c r="A60" s="11" t="s">
        <v>747</v>
      </c>
      <c r="B60" s="12"/>
      <c r="C60" s="21"/>
      <c r="D60" s="83">
        <f>4475800/1000</f>
        <v>4475.8</v>
      </c>
      <c r="E60" s="83">
        <f>4475800/1000</f>
        <v>4475.8</v>
      </c>
      <c r="F60" s="83">
        <v>0</v>
      </c>
      <c r="G60" s="83">
        <v>0</v>
      </c>
      <c r="H60" s="83">
        <v>0</v>
      </c>
      <c r="I60" s="83">
        <v>0</v>
      </c>
    </row>
    <row r="61" spans="1:9" s="2" customFormat="1" ht="38.25" customHeight="1">
      <c r="A61" s="11" t="s">
        <v>748</v>
      </c>
      <c r="B61" s="12"/>
      <c r="C61" s="21"/>
      <c r="D61" s="83">
        <f>3000000/1000</f>
        <v>3000</v>
      </c>
      <c r="E61" s="83">
        <f>2517402.62/1000</f>
        <v>2517.4026200000003</v>
      </c>
      <c r="F61" s="83">
        <f>482597.38/1000</f>
        <v>482.59738</v>
      </c>
      <c r="G61" s="83">
        <v>0</v>
      </c>
      <c r="H61" s="83">
        <v>0</v>
      </c>
      <c r="I61" s="83">
        <v>0</v>
      </c>
    </row>
    <row r="62" spans="1:9" s="2" customFormat="1" ht="25.5" customHeight="1">
      <c r="A62" s="11" t="s">
        <v>753</v>
      </c>
      <c r="B62" s="12"/>
      <c r="C62" s="21"/>
      <c r="D62" s="83">
        <f>45000/1000</f>
        <v>45</v>
      </c>
      <c r="E62" s="83">
        <f>45000/1000</f>
        <v>45</v>
      </c>
      <c r="F62" s="83">
        <v>0</v>
      </c>
      <c r="G62" s="83">
        <v>0</v>
      </c>
      <c r="H62" s="83">
        <v>0</v>
      </c>
      <c r="I62" s="83">
        <v>0</v>
      </c>
    </row>
    <row r="63" spans="1:9" s="2" customFormat="1" ht="25.5" customHeight="1">
      <c r="A63" s="11" t="s">
        <v>754</v>
      </c>
      <c r="B63" s="12"/>
      <c r="C63" s="21"/>
      <c r="D63" s="83">
        <f>50000/1000</f>
        <v>50</v>
      </c>
      <c r="E63" s="83">
        <f>50000/1000</f>
        <v>50</v>
      </c>
      <c r="F63" s="83">
        <v>0</v>
      </c>
      <c r="G63" s="83">
        <v>0</v>
      </c>
      <c r="H63" s="83">
        <v>0</v>
      </c>
      <c r="I63" s="83">
        <v>0</v>
      </c>
    </row>
    <row r="64" spans="1:9" s="2" customFormat="1" ht="25.5" customHeight="1">
      <c r="A64" s="11" t="s">
        <v>755</v>
      </c>
      <c r="B64" s="12"/>
      <c r="C64" s="21"/>
      <c r="D64" s="83">
        <f>50000/1000</f>
        <v>50</v>
      </c>
      <c r="E64" s="83">
        <f>50000/1000</f>
        <v>50</v>
      </c>
      <c r="F64" s="83">
        <v>0</v>
      </c>
      <c r="G64" s="83">
        <v>0</v>
      </c>
      <c r="H64" s="83">
        <v>0</v>
      </c>
      <c r="I64" s="83">
        <v>0</v>
      </c>
    </row>
    <row r="65" spans="1:9" s="2" customFormat="1" ht="39" customHeight="1">
      <c r="A65" s="11" t="s">
        <v>756</v>
      </c>
      <c r="B65" s="12"/>
      <c r="C65" s="21"/>
      <c r="D65" s="83">
        <f>80000/1000</f>
        <v>80</v>
      </c>
      <c r="E65" s="83">
        <f>80000/1000</f>
        <v>80</v>
      </c>
      <c r="F65" s="83">
        <v>0</v>
      </c>
      <c r="G65" s="83">
        <v>0</v>
      </c>
      <c r="H65" s="83">
        <v>0</v>
      </c>
      <c r="I65" s="83">
        <v>0</v>
      </c>
    </row>
    <row r="66" spans="1:9" s="2" customFormat="1" ht="39" customHeight="1">
      <c r="A66" s="11" t="s">
        <v>757</v>
      </c>
      <c r="B66" s="12"/>
      <c r="C66" s="21"/>
      <c r="D66" s="83">
        <f>95000/1000</f>
        <v>95</v>
      </c>
      <c r="E66" s="83">
        <f>95000/1000</f>
        <v>95</v>
      </c>
      <c r="F66" s="83">
        <v>0</v>
      </c>
      <c r="G66" s="83">
        <v>0</v>
      </c>
      <c r="H66" s="83">
        <v>0</v>
      </c>
      <c r="I66" s="83">
        <v>0</v>
      </c>
    </row>
    <row r="67" spans="1:9" s="2" customFormat="1" ht="39" customHeight="1">
      <c r="A67" s="11" t="s">
        <v>758</v>
      </c>
      <c r="B67" s="12"/>
      <c r="C67" s="21"/>
      <c r="D67" s="83">
        <f>99260/1000</f>
        <v>99.26</v>
      </c>
      <c r="E67" s="83">
        <f>99260/1000</f>
        <v>99.26</v>
      </c>
      <c r="F67" s="83">
        <v>0</v>
      </c>
      <c r="G67" s="83">
        <v>0</v>
      </c>
      <c r="H67" s="83">
        <v>0</v>
      </c>
      <c r="I67" s="83">
        <v>0</v>
      </c>
    </row>
    <row r="68" spans="1:9" s="2" customFormat="1" ht="39" customHeight="1">
      <c r="A68" s="11" t="s">
        <v>759</v>
      </c>
      <c r="B68" s="12"/>
      <c r="C68" s="21"/>
      <c r="D68" s="83">
        <f>99500/1000</f>
        <v>99.5</v>
      </c>
      <c r="E68" s="83">
        <f>99400/1000</f>
        <v>99.4</v>
      </c>
      <c r="F68" s="83">
        <v>0</v>
      </c>
      <c r="G68" s="83">
        <v>0</v>
      </c>
      <c r="H68" s="83">
        <v>0</v>
      </c>
      <c r="I68" s="83">
        <v>0</v>
      </c>
    </row>
    <row r="69" spans="1:9" s="2" customFormat="1" ht="39" customHeight="1">
      <c r="A69" s="11" t="s">
        <v>760</v>
      </c>
      <c r="B69" s="12"/>
      <c r="C69" s="21"/>
      <c r="D69" s="83">
        <f>140000/1000</f>
        <v>140</v>
      </c>
      <c r="E69" s="83">
        <f>140000/1000</f>
        <v>140</v>
      </c>
      <c r="F69" s="83">
        <v>0</v>
      </c>
      <c r="G69" s="83">
        <v>0</v>
      </c>
      <c r="H69" s="83">
        <v>0</v>
      </c>
      <c r="I69" s="83">
        <v>0</v>
      </c>
    </row>
    <row r="70" spans="1:9" s="2" customFormat="1" ht="25.5" customHeight="1">
      <c r="A70" s="11" t="s">
        <v>761</v>
      </c>
      <c r="B70" s="12"/>
      <c r="C70" s="21"/>
      <c r="D70" s="83">
        <f>140000/1000</f>
        <v>140</v>
      </c>
      <c r="E70" s="83">
        <f>140000/1000</f>
        <v>140</v>
      </c>
      <c r="F70" s="83">
        <v>0</v>
      </c>
      <c r="G70" s="83">
        <v>0</v>
      </c>
      <c r="H70" s="83">
        <v>0</v>
      </c>
      <c r="I70" s="83">
        <v>0</v>
      </c>
    </row>
    <row r="71" spans="1:9" s="2" customFormat="1" ht="37.5" customHeight="1">
      <c r="A71" s="11" t="s">
        <v>762</v>
      </c>
      <c r="B71" s="12"/>
      <c r="C71" s="21"/>
      <c r="D71" s="83">
        <f>168370/1000</f>
        <v>168.37</v>
      </c>
      <c r="E71" s="83">
        <f>168370/1000</f>
        <v>168.37</v>
      </c>
      <c r="F71" s="83">
        <v>0</v>
      </c>
      <c r="G71" s="83">
        <v>0</v>
      </c>
      <c r="H71" s="83">
        <v>0</v>
      </c>
      <c r="I71" s="83">
        <v>0</v>
      </c>
    </row>
    <row r="72" spans="1:9" s="2" customFormat="1" ht="26.25" customHeight="1">
      <c r="A72" s="11" t="s">
        <v>763</v>
      </c>
      <c r="B72" s="12"/>
      <c r="C72" s="21"/>
      <c r="D72" s="83">
        <f>219182.5/1000</f>
        <v>219.1825</v>
      </c>
      <c r="E72" s="83">
        <f>219182.5/1000</f>
        <v>219.1825</v>
      </c>
      <c r="F72" s="83">
        <v>0</v>
      </c>
      <c r="G72" s="83">
        <v>0</v>
      </c>
      <c r="H72" s="83">
        <v>0</v>
      </c>
      <c r="I72" s="83">
        <v>0</v>
      </c>
    </row>
    <row r="73" spans="1:9" s="2" customFormat="1" ht="27" customHeight="1">
      <c r="A73" s="11" t="s">
        <v>764</v>
      </c>
      <c r="B73" s="12"/>
      <c r="C73" s="21"/>
      <c r="D73" s="83">
        <f>430000/1000</f>
        <v>430</v>
      </c>
      <c r="E73" s="83">
        <f>430000/1000</f>
        <v>430</v>
      </c>
      <c r="F73" s="83">
        <v>0</v>
      </c>
      <c r="G73" s="83">
        <v>0</v>
      </c>
      <c r="H73" s="83">
        <v>0</v>
      </c>
      <c r="I73" s="83">
        <v>0</v>
      </c>
    </row>
    <row r="74" spans="1:9" s="2" customFormat="1" ht="47.25" customHeight="1">
      <c r="A74" s="11" t="s">
        <v>765</v>
      </c>
      <c r="B74" s="12"/>
      <c r="C74" s="21"/>
      <c r="D74" s="83">
        <f>862886/1000</f>
        <v>862.886</v>
      </c>
      <c r="E74" s="83">
        <f>559368/1000</f>
        <v>559.368</v>
      </c>
      <c r="F74" s="83">
        <f>303518/1000</f>
        <v>303.518</v>
      </c>
      <c r="G74" s="83">
        <v>0</v>
      </c>
      <c r="H74" s="83">
        <v>0</v>
      </c>
      <c r="I74" s="83">
        <v>0</v>
      </c>
    </row>
    <row r="75" spans="1:9" s="2" customFormat="1" ht="23.25" customHeight="1">
      <c r="A75" s="11" t="s">
        <v>766</v>
      </c>
      <c r="B75" s="12"/>
      <c r="C75" s="21"/>
      <c r="D75" s="83">
        <f>1000000/1000</f>
        <v>1000</v>
      </c>
      <c r="E75" s="83">
        <f>1000000/1000</f>
        <v>1000</v>
      </c>
      <c r="F75" s="83">
        <v>0</v>
      </c>
      <c r="G75" s="83">
        <v>0</v>
      </c>
      <c r="H75" s="83">
        <v>0</v>
      </c>
      <c r="I75" s="83">
        <v>0</v>
      </c>
    </row>
    <row r="76" spans="1:9" s="2" customFormat="1" ht="39" customHeight="1">
      <c r="A76" s="11" t="s">
        <v>767</v>
      </c>
      <c r="B76" s="12"/>
      <c r="C76" s="21"/>
      <c r="D76" s="83">
        <f>1100000/1000</f>
        <v>1100</v>
      </c>
      <c r="E76" s="83">
        <f>1100000/1000</f>
        <v>1100</v>
      </c>
      <c r="F76" s="83">
        <v>0</v>
      </c>
      <c r="G76" s="83">
        <v>0</v>
      </c>
      <c r="H76" s="83">
        <v>0</v>
      </c>
      <c r="I76" s="83">
        <v>0</v>
      </c>
    </row>
    <row r="77" spans="1:9" s="2" customFormat="1" ht="25.5" customHeight="1">
      <c r="A77" s="11" t="s">
        <v>768</v>
      </c>
      <c r="B77" s="12"/>
      <c r="C77" s="21"/>
      <c r="D77" s="83">
        <f>2030000/1000</f>
        <v>2030</v>
      </c>
      <c r="E77" s="83">
        <f>1373209.21/1000</f>
        <v>1373.20921</v>
      </c>
      <c r="F77" s="83">
        <f>656790.79/1000</f>
        <v>656.79079</v>
      </c>
      <c r="G77" s="83">
        <v>0</v>
      </c>
      <c r="H77" s="83">
        <v>0</v>
      </c>
      <c r="I77" s="83">
        <v>0</v>
      </c>
    </row>
    <row r="78" spans="1:9" s="2" customFormat="1" ht="25.5" customHeight="1">
      <c r="A78" s="11" t="s">
        <v>803</v>
      </c>
      <c r="B78" s="12"/>
      <c r="C78" s="21"/>
      <c r="D78" s="83">
        <v>80</v>
      </c>
      <c r="E78" s="83">
        <f>60000/1000</f>
        <v>60</v>
      </c>
      <c r="F78" s="83">
        <v>0</v>
      </c>
      <c r="G78" s="83">
        <v>0</v>
      </c>
      <c r="H78" s="83">
        <v>0</v>
      </c>
      <c r="I78" s="83">
        <v>0</v>
      </c>
    </row>
    <row r="79" spans="1:9" s="2" customFormat="1" ht="25.5" customHeight="1">
      <c r="A79" s="11" t="s">
        <v>801</v>
      </c>
      <c r="B79" s="12"/>
      <c r="C79" s="21"/>
      <c r="D79" s="83">
        <f>409624/1000</f>
        <v>409.624</v>
      </c>
      <c r="E79" s="83">
        <f>409624/1000</f>
        <v>409.624</v>
      </c>
      <c r="F79" s="83">
        <v>0</v>
      </c>
      <c r="G79" s="83">
        <v>0</v>
      </c>
      <c r="H79" s="83">
        <v>0</v>
      </c>
      <c r="I79" s="83">
        <v>0</v>
      </c>
    </row>
    <row r="80" spans="1:9" s="2" customFormat="1" ht="25.5" customHeight="1">
      <c r="A80" s="11" t="s">
        <v>802</v>
      </c>
      <c r="B80" s="12"/>
      <c r="C80" s="21"/>
      <c r="D80" s="83">
        <f>2800000/1000</f>
        <v>2800</v>
      </c>
      <c r="E80" s="83">
        <f>2800000/1000</f>
        <v>2800</v>
      </c>
      <c r="F80" s="83">
        <v>0</v>
      </c>
      <c r="G80" s="83">
        <v>0</v>
      </c>
      <c r="H80" s="83">
        <v>0</v>
      </c>
      <c r="I80" s="83">
        <v>0</v>
      </c>
    </row>
    <row r="81" spans="1:9" s="2" customFormat="1" ht="25.5" customHeight="1">
      <c r="A81" s="11" t="s">
        <v>804</v>
      </c>
      <c r="B81" s="12"/>
      <c r="C81" s="21"/>
      <c r="D81" s="83">
        <f>8203600/1000</f>
        <v>8203.6</v>
      </c>
      <c r="E81" s="83">
        <f>8203600/1000</f>
        <v>8203.6</v>
      </c>
      <c r="F81" s="83">
        <v>0</v>
      </c>
      <c r="G81" s="83">
        <v>0</v>
      </c>
      <c r="H81" s="83">
        <v>0</v>
      </c>
      <c r="I81" s="83">
        <v>0</v>
      </c>
    </row>
    <row r="82" spans="1:9" s="2" customFormat="1" ht="38.25" customHeight="1">
      <c r="A82" s="11" t="s">
        <v>845</v>
      </c>
      <c r="B82" s="12"/>
      <c r="C82" s="21"/>
      <c r="D82" s="83">
        <f>20000/1000</f>
        <v>20</v>
      </c>
      <c r="E82" s="83">
        <f>20000/1000</f>
        <v>20</v>
      </c>
      <c r="F82" s="83">
        <v>0</v>
      </c>
      <c r="G82" s="83">
        <v>0</v>
      </c>
      <c r="H82" s="83">
        <v>0</v>
      </c>
      <c r="I82" s="83">
        <v>0</v>
      </c>
    </row>
    <row r="83" spans="1:9" s="2" customFormat="1" ht="12.75" customHeight="1">
      <c r="A83" s="11" t="s">
        <v>846</v>
      </c>
      <c r="B83" s="12"/>
      <c r="C83" s="21"/>
      <c r="D83" s="83">
        <f>30000/1000</f>
        <v>30</v>
      </c>
      <c r="E83" s="83">
        <f>30000/1000</f>
        <v>30</v>
      </c>
      <c r="F83" s="83">
        <v>0</v>
      </c>
      <c r="G83" s="83">
        <v>0</v>
      </c>
      <c r="H83" s="83">
        <v>0</v>
      </c>
      <c r="I83" s="83">
        <v>0</v>
      </c>
    </row>
    <row r="84" spans="1:9" s="2" customFormat="1" ht="25.5" customHeight="1">
      <c r="A84" s="11" t="s">
        <v>847</v>
      </c>
      <c r="B84" s="12"/>
      <c r="C84" s="21"/>
      <c r="D84" s="83">
        <f>35000/1000</f>
        <v>35</v>
      </c>
      <c r="E84" s="83">
        <f>35000/1000</f>
        <v>35</v>
      </c>
      <c r="F84" s="83">
        <v>0</v>
      </c>
      <c r="G84" s="83">
        <v>0</v>
      </c>
      <c r="H84" s="83">
        <v>0</v>
      </c>
      <c r="I84" s="83">
        <v>0</v>
      </c>
    </row>
    <row r="85" spans="1:9" s="2" customFormat="1" ht="25.5" customHeight="1">
      <c r="A85" s="11" t="s">
        <v>848</v>
      </c>
      <c r="B85" s="12"/>
      <c r="C85" s="21"/>
      <c r="D85" s="83">
        <f>35000/1000</f>
        <v>35</v>
      </c>
      <c r="E85" s="83">
        <f>35000/1000</f>
        <v>35</v>
      </c>
      <c r="F85" s="83">
        <v>0</v>
      </c>
      <c r="G85" s="83">
        <v>0</v>
      </c>
      <c r="H85" s="83">
        <v>0</v>
      </c>
      <c r="I85" s="83">
        <v>0</v>
      </c>
    </row>
    <row r="86" spans="1:9" s="2" customFormat="1" ht="38.25" customHeight="1">
      <c r="A86" s="11" t="s">
        <v>849</v>
      </c>
      <c r="B86" s="12"/>
      <c r="C86" s="21"/>
      <c r="D86" s="83">
        <f>37700/1000</f>
        <v>37.7</v>
      </c>
      <c r="E86" s="83">
        <v>0</v>
      </c>
      <c r="F86" s="83">
        <v>37.7</v>
      </c>
      <c r="G86" s="83">
        <v>0</v>
      </c>
      <c r="H86" s="83">
        <v>0</v>
      </c>
      <c r="I86" s="83">
        <v>0</v>
      </c>
    </row>
    <row r="87" spans="1:9" s="2" customFormat="1" ht="25.5" customHeight="1">
      <c r="A87" s="11" t="s">
        <v>850</v>
      </c>
      <c r="B87" s="12"/>
      <c r="C87" s="21"/>
      <c r="D87" s="83">
        <f>72000/1000</f>
        <v>72</v>
      </c>
      <c r="E87" s="83">
        <f>72000/1000</f>
        <v>72</v>
      </c>
      <c r="F87" s="83">
        <v>0</v>
      </c>
      <c r="G87" s="83">
        <v>0</v>
      </c>
      <c r="H87" s="83">
        <v>0</v>
      </c>
      <c r="I87" s="83">
        <v>0</v>
      </c>
    </row>
    <row r="88" spans="1:9" s="2" customFormat="1" ht="38.25" customHeight="1">
      <c r="A88" s="11" t="s">
        <v>851</v>
      </c>
      <c r="B88" s="12"/>
      <c r="C88" s="21"/>
      <c r="D88" s="83">
        <f>74444/1000</f>
        <v>74.444</v>
      </c>
      <c r="E88" s="83">
        <v>0</v>
      </c>
      <c r="F88" s="83">
        <v>74.444</v>
      </c>
      <c r="G88" s="83">
        <v>0</v>
      </c>
      <c r="H88" s="83">
        <v>0</v>
      </c>
      <c r="I88" s="83">
        <v>0</v>
      </c>
    </row>
    <row r="89" spans="1:9" s="2" customFormat="1" ht="40.5" customHeight="1">
      <c r="A89" s="11" t="s">
        <v>852</v>
      </c>
      <c r="B89" s="12"/>
      <c r="C89" s="21"/>
      <c r="D89" s="83">
        <f>78850/1000</f>
        <v>78.85</v>
      </c>
      <c r="E89" s="83">
        <f>78850/1000</f>
        <v>78.85</v>
      </c>
      <c r="F89" s="83">
        <v>0</v>
      </c>
      <c r="G89" s="83">
        <v>0</v>
      </c>
      <c r="H89" s="83">
        <v>0</v>
      </c>
      <c r="I89" s="83">
        <v>0</v>
      </c>
    </row>
    <row r="90" spans="1:9" s="2" customFormat="1" ht="39" customHeight="1">
      <c r="A90" s="11" t="s">
        <v>853</v>
      </c>
      <c r="B90" s="12"/>
      <c r="C90" s="21"/>
      <c r="D90" s="83">
        <f>80000/1000</f>
        <v>80</v>
      </c>
      <c r="E90" s="83">
        <f>80000/1000</f>
        <v>80</v>
      </c>
      <c r="F90" s="83">
        <v>0</v>
      </c>
      <c r="G90" s="83">
        <v>0</v>
      </c>
      <c r="H90" s="83">
        <v>0</v>
      </c>
      <c r="I90" s="83">
        <v>0</v>
      </c>
    </row>
    <row r="91" spans="1:9" s="2" customFormat="1" ht="40.5" customHeight="1">
      <c r="A91" s="11" t="s">
        <v>854</v>
      </c>
      <c r="B91" s="12"/>
      <c r="C91" s="21"/>
      <c r="D91" s="83">
        <f>92428/1000</f>
        <v>92.428</v>
      </c>
      <c r="E91" s="83">
        <f>92428/1000</f>
        <v>92.428</v>
      </c>
      <c r="F91" s="83">
        <v>0</v>
      </c>
      <c r="G91" s="83">
        <v>0</v>
      </c>
      <c r="H91" s="83">
        <v>0</v>
      </c>
      <c r="I91" s="83">
        <v>0</v>
      </c>
    </row>
    <row r="92" spans="1:9" s="2" customFormat="1" ht="25.5" customHeight="1">
      <c r="A92" s="11" t="s">
        <v>855</v>
      </c>
      <c r="B92" s="12"/>
      <c r="C92" s="21"/>
      <c r="D92" s="83">
        <f>159865/1000</f>
        <v>159.865</v>
      </c>
      <c r="E92" s="83">
        <f>159865/1000</f>
        <v>159.865</v>
      </c>
      <c r="F92" s="83">
        <v>0</v>
      </c>
      <c r="G92" s="83">
        <v>0</v>
      </c>
      <c r="H92" s="83">
        <v>0</v>
      </c>
      <c r="I92" s="83">
        <v>0</v>
      </c>
    </row>
    <row r="93" spans="1:9" s="2" customFormat="1" ht="64.5" customHeight="1">
      <c r="A93" s="11" t="s">
        <v>856</v>
      </c>
      <c r="B93" s="12"/>
      <c r="C93" s="21"/>
      <c r="D93" s="83">
        <f>600000/1000</f>
        <v>600</v>
      </c>
      <c r="E93" s="83">
        <f>600000/1000</f>
        <v>600</v>
      </c>
      <c r="F93" s="83">
        <v>0</v>
      </c>
      <c r="G93" s="83">
        <v>0</v>
      </c>
      <c r="H93" s="83">
        <v>0</v>
      </c>
      <c r="I93" s="83">
        <v>0</v>
      </c>
    </row>
    <row r="94" spans="1:9" s="2" customFormat="1" ht="25.5" customHeight="1">
      <c r="A94" s="11" t="s">
        <v>857</v>
      </c>
      <c r="B94" s="12"/>
      <c r="C94" s="21"/>
      <c r="D94" s="83">
        <f>800000/1000</f>
        <v>800</v>
      </c>
      <c r="E94" s="83">
        <f>800000/1000</f>
        <v>800</v>
      </c>
      <c r="F94" s="83">
        <v>0</v>
      </c>
      <c r="G94" s="83">
        <v>0</v>
      </c>
      <c r="H94" s="83">
        <v>0</v>
      </c>
      <c r="I94" s="83">
        <v>0</v>
      </c>
    </row>
    <row r="95" spans="1:9" s="2" customFormat="1" ht="25.5" customHeight="1">
      <c r="A95" s="11" t="s">
        <v>858</v>
      </c>
      <c r="B95" s="12"/>
      <c r="C95" s="21"/>
      <c r="D95" s="83">
        <f>424980/1000</f>
        <v>424.98</v>
      </c>
      <c r="E95" s="83">
        <f>424980/1000</f>
        <v>424.98</v>
      </c>
      <c r="F95" s="83">
        <v>0</v>
      </c>
      <c r="G95" s="83">
        <v>0</v>
      </c>
      <c r="H95" s="83">
        <v>0</v>
      </c>
      <c r="I95" s="83">
        <v>0</v>
      </c>
    </row>
    <row r="96" spans="1:9" s="2" customFormat="1" ht="38.25" customHeight="1">
      <c r="A96" s="11" t="s">
        <v>859</v>
      </c>
      <c r="B96" s="12"/>
      <c r="C96" s="21"/>
      <c r="D96" s="83">
        <f>1000000/1000</f>
        <v>1000</v>
      </c>
      <c r="E96" s="83">
        <f>1000000/1000</f>
        <v>1000</v>
      </c>
      <c r="F96" s="83">
        <v>0</v>
      </c>
      <c r="G96" s="83">
        <v>0</v>
      </c>
      <c r="H96" s="83">
        <v>0</v>
      </c>
      <c r="I96" s="83">
        <v>0</v>
      </c>
    </row>
    <row r="97" spans="1:9" s="2" customFormat="1" ht="53.25" customHeight="1">
      <c r="A97" s="11" t="s">
        <v>860</v>
      </c>
      <c r="B97" s="12"/>
      <c r="C97" s="21"/>
      <c r="D97" s="83">
        <f>1450000/1000</f>
        <v>1450</v>
      </c>
      <c r="E97" s="83">
        <f>1220369.58/1000</f>
        <v>1220.36958</v>
      </c>
      <c r="F97" s="83">
        <v>0</v>
      </c>
      <c r="G97" s="83">
        <v>0</v>
      </c>
      <c r="H97" s="83">
        <v>0</v>
      </c>
      <c r="I97" s="83">
        <v>0</v>
      </c>
    </row>
    <row r="98" spans="1:9" s="2" customFormat="1" ht="38.25" customHeight="1">
      <c r="A98" s="11" t="s">
        <v>861</v>
      </c>
      <c r="B98" s="12"/>
      <c r="C98" s="21"/>
      <c r="D98" s="83">
        <f>28200000/1000</f>
        <v>28200</v>
      </c>
      <c r="E98" s="83">
        <f>28195000/1000</f>
        <v>28195</v>
      </c>
      <c r="F98" s="83">
        <v>0</v>
      </c>
      <c r="G98" s="83">
        <v>0</v>
      </c>
      <c r="H98" s="83">
        <v>0</v>
      </c>
      <c r="I98" s="83">
        <v>0</v>
      </c>
    </row>
    <row r="99" spans="1:9" s="2" customFormat="1" ht="15" customHeight="1">
      <c r="A99" s="109" t="s">
        <v>871</v>
      </c>
      <c r="B99" s="12"/>
      <c r="C99" s="21"/>
      <c r="D99" s="83">
        <f>7500/1000</f>
        <v>7.5</v>
      </c>
      <c r="E99" s="117">
        <f>7500/1000</f>
        <v>7.5</v>
      </c>
      <c r="F99" s="83">
        <v>0</v>
      </c>
      <c r="G99" s="83">
        <v>0</v>
      </c>
      <c r="H99" s="83">
        <v>0</v>
      </c>
      <c r="I99" s="83">
        <v>0</v>
      </c>
    </row>
    <row r="100" spans="1:9" s="2" customFormat="1" ht="15" customHeight="1">
      <c r="A100" s="109" t="s">
        <v>872</v>
      </c>
      <c r="B100" s="12"/>
      <c r="C100" s="21"/>
      <c r="D100" s="83">
        <f>25000/1000</f>
        <v>25</v>
      </c>
      <c r="E100" s="117">
        <f>25000/1000</f>
        <v>25</v>
      </c>
      <c r="F100" s="83">
        <v>0</v>
      </c>
      <c r="G100" s="83">
        <v>0</v>
      </c>
      <c r="H100" s="83">
        <v>0</v>
      </c>
      <c r="I100" s="83">
        <v>0</v>
      </c>
    </row>
    <row r="101" spans="1:9" s="2" customFormat="1" ht="38.25" customHeight="1">
      <c r="A101" s="109" t="s">
        <v>874</v>
      </c>
      <c r="B101" s="12"/>
      <c r="C101" s="21"/>
      <c r="D101" s="83">
        <f>1132770.54/1000</f>
        <v>1132.77054</v>
      </c>
      <c r="E101" s="117">
        <v>0</v>
      </c>
      <c r="F101" s="83">
        <v>0</v>
      </c>
      <c r="G101" s="83">
        <v>0</v>
      </c>
      <c r="H101" s="83">
        <v>0</v>
      </c>
      <c r="I101" s="83">
        <v>0</v>
      </c>
    </row>
    <row r="102" spans="1:9" s="2" customFormat="1" ht="64.5" customHeight="1">
      <c r="A102" s="109" t="s">
        <v>873</v>
      </c>
      <c r="B102" s="12"/>
      <c r="C102" s="21"/>
      <c r="D102" s="83">
        <f>29110740/1000</f>
        <v>29110.74</v>
      </c>
      <c r="E102" s="117">
        <f>18753731.8/1000</f>
        <v>18753.7318</v>
      </c>
      <c r="F102" s="83">
        <f>10357008.2/1000</f>
        <v>10357.008199999998</v>
      </c>
      <c r="G102" s="83">
        <v>0</v>
      </c>
      <c r="H102" s="83">
        <v>0</v>
      </c>
      <c r="I102" s="83">
        <v>0</v>
      </c>
    </row>
    <row r="103" spans="1:9" s="2" customFormat="1" ht="50.25" customHeight="1">
      <c r="A103" s="109" t="s">
        <v>875</v>
      </c>
      <c r="B103" s="12"/>
      <c r="C103" s="21"/>
      <c r="D103" s="83">
        <f>1600000/1000</f>
        <v>1600</v>
      </c>
      <c r="E103" s="117">
        <v>0</v>
      </c>
      <c r="F103" s="83">
        <v>1600</v>
      </c>
      <c r="G103" s="83">
        <v>0</v>
      </c>
      <c r="H103" s="83">
        <v>0</v>
      </c>
      <c r="I103" s="83">
        <v>0</v>
      </c>
    </row>
    <row r="104" spans="1:9" s="2" customFormat="1" ht="27.75" customHeight="1">
      <c r="A104" s="109" t="s">
        <v>900</v>
      </c>
      <c r="B104" s="12"/>
      <c r="C104" s="21"/>
      <c r="D104" s="83">
        <v>99</v>
      </c>
      <c r="E104" s="117">
        <v>99</v>
      </c>
      <c r="F104" s="83">
        <v>0</v>
      </c>
      <c r="G104" s="83">
        <v>0</v>
      </c>
      <c r="H104" s="83">
        <v>0</v>
      </c>
      <c r="I104" s="83">
        <v>0</v>
      </c>
    </row>
    <row r="105" spans="1:9" s="108" customFormat="1" ht="66.75" customHeight="1">
      <c r="A105" s="107" t="s">
        <v>892</v>
      </c>
      <c r="B105" s="112"/>
      <c r="C105" s="113"/>
      <c r="D105" s="117">
        <v>0</v>
      </c>
      <c r="E105" s="117">
        <v>0</v>
      </c>
      <c r="F105" s="83">
        <v>47000</v>
      </c>
      <c r="G105" s="83">
        <v>0</v>
      </c>
      <c r="H105" s="83">
        <v>0</v>
      </c>
      <c r="I105" s="83">
        <v>0</v>
      </c>
    </row>
    <row r="106" spans="1:9" s="108" customFormat="1" ht="64.5" customHeight="1">
      <c r="A106" s="107" t="s">
        <v>893</v>
      </c>
      <c r="B106" s="112"/>
      <c r="C106" s="113"/>
      <c r="D106" s="117">
        <v>0</v>
      </c>
      <c r="E106" s="117">
        <v>0</v>
      </c>
      <c r="F106" s="83">
        <v>0</v>
      </c>
      <c r="G106" s="83">
        <v>3000</v>
      </c>
      <c r="H106" s="83">
        <v>3000</v>
      </c>
      <c r="I106" s="83">
        <v>3000</v>
      </c>
    </row>
    <row r="107" spans="1:9" s="2" customFormat="1" ht="25.5" customHeight="1">
      <c r="A107" s="11" t="s">
        <v>749</v>
      </c>
      <c r="B107" s="12"/>
      <c r="C107" s="21"/>
      <c r="D107" s="83">
        <f>16174600/1000</f>
        <v>16174.6</v>
      </c>
      <c r="E107" s="83">
        <f>D107</f>
        <v>16174.6</v>
      </c>
      <c r="F107" s="83">
        <v>20999.1</v>
      </c>
      <c r="G107" s="83">
        <v>22301</v>
      </c>
      <c r="H107" s="83">
        <v>23460.7</v>
      </c>
      <c r="I107" s="83">
        <v>24610.3</v>
      </c>
    </row>
    <row r="108" spans="1:9" s="2" customFormat="1" ht="25.5" customHeight="1">
      <c r="A108" s="11" t="s">
        <v>950</v>
      </c>
      <c r="B108" s="12"/>
      <c r="C108" s="21"/>
      <c r="D108" s="83">
        <v>0</v>
      </c>
      <c r="E108" s="83">
        <v>0</v>
      </c>
      <c r="F108" s="83">
        <v>415</v>
      </c>
      <c r="G108" s="83">
        <v>0</v>
      </c>
      <c r="H108" s="83">
        <v>0</v>
      </c>
      <c r="I108" s="83">
        <v>0</v>
      </c>
    </row>
    <row r="109" spans="1:9" s="2" customFormat="1" ht="25.5" customHeight="1">
      <c r="A109" s="11" t="s">
        <v>951</v>
      </c>
      <c r="B109" s="12"/>
      <c r="C109" s="21"/>
      <c r="D109" s="83">
        <v>0</v>
      </c>
      <c r="E109" s="83">
        <v>0</v>
      </c>
      <c r="F109" s="83">
        <v>2070</v>
      </c>
      <c r="G109" s="83">
        <v>0</v>
      </c>
      <c r="H109" s="83">
        <v>0</v>
      </c>
      <c r="I109" s="83">
        <v>0</v>
      </c>
    </row>
    <row r="110" spans="1:9" s="2" customFormat="1" ht="25.5" customHeight="1">
      <c r="A110" s="11" t="s">
        <v>952</v>
      </c>
      <c r="B110" s="12"/>
      <c r="C110" s="21"/>
      <c r="D110" s="83">
        <v>0</v>
      </c>
      <c r="E110" s="83">
        <v>0</v>
      </c>
      <c r="F110" s="83">
        <v>2350</v>
      </c>
      <c r="G110" s="83">
        <v>0</v>
      </c>
      <c r="H110" s="83">
        <v>0</v>
      </c>
      <c r="I110" s="83">
        <v>0</v>
      </c>
    </row>
    <row r="111" spans="1:9" s="2" customFormat="1" ht="25.5" customHeight="1">
      <c r="A111" s="11" t="s">
        <v>953</v>
      </c>
      <c r="B111" s="12"/>
      <c r="C111" s="21"/>
      <c r="D111" s="83">
        <v>0</v>
      </c>
      <c r="E111" s="83">
        <v>0</v>
      </c>
      <c r="F111" s="83">
        <v>600</v>
      </c>
      <c r="G111" s="83">
        <v>0</v>
      </c>
      <c r="H111" s="83">
        <v>0</v>
      </c>
      <c r="I111" s="83">
        <v>0</v>
      </c>
    </row>
    <row r="112" spans="1:9" s="2" customFormat="1" ht="37.5" customHeight="1">
      <c r="A112" s="11" t="s">
        <v>954</v>
      </c>
      <c r="B112" s="12"/>
      <c r="C112" s="21"/>
      <c r="D112" s="83">
        <v>0</v>
      </c>
      <c r="E112" s="83">
        <v>0</v>
      </c>
      <c r="F112" s="83">
        <v>700</v>
      </c>
      <c r="G112" s="83">
        <v>0</v>
      </c>
      <c r="H112" s="83">
        <v>0</v>
      </c>
      <c r="I112" s="83">
        <v>0</v>
      </c>
    </row>
    <row r="113" spans="1:9" s="2" customFormat="1" ht="50.25" customHeight="1">
      <c r="A113" s="11" t="s">
        <v>955</v>
      </c>
      <c r="B113" s="12"/>
      <c r="C113" s="21"/>
      <c r="D113" s="83">
        <v>0</v>
      </c>
      <c r="E113" s="83">
        <v>0</v>
      </c>
      <c r="F113" s="83">
        <v>500</v>
      </c>
      <c r="G113" s="83">
        <v>0</v>
      </c>
      <c r="H113" s="83">
        <v>0</v>
      </c>
      <c r="I113" s="83">
        <v>0</v>
      </c>
    </row>
    <row r="114" spans="1:9" s="2" customFormat="1" ht="25.5" customHeight="1">
      <c r="A114" s="11" t="s">
        <v>956</v>
      </c>
      <c r="B114" s="12"/>
      <c r="C114" s="21"/>
      <c r="D114" s="83">
        <v>0</v>
      </c>
      <c r="E114" s="83">
        <v>0</v>
      </c>
      <c r="F114" s="83">
        <v>494</v>
      </c>
      <c r="G114" s="83">
        <v>0</v>
      </c>
      <c r="H114" s="83">
        <v>0</v>
      </c>
      <c r="I114" s="83">
        <v>0</v>
      </c>
    </row>
    <row r="115" spans="1:9" s="2" customFormat="1" ht="25.5" customHeight="1">
      <c r="A115" s="11" t="s">
        <v>957</v>
      </c>
      <c r="B115" s="12"/>
      <c r="C115" s="21"/>
      <c r="D115" s="83">
        <v>0</v>
      </c>
      <c r="E115" s="83">
        <v>0</v>
      </c>
      <c r="F115" s="83">
        <v>495</v>
      </c>
      <c r="G115" s="83">
        <v>0</v>
      </c>
      <c r="H115" s="83">
        <v>0</v>
      </c>
      <c r="I115" s="83">
        <v>0</v>
      </c>
    </row>
    <row r="116" spans="1:9" s="2" customFormat="1" ht="25.5" customHeight="1">
      <c r="A116" s="11" t="s">
        <v>958</v>
      </c>
      <c r="B116" s="12"/>
      <c r="C116" s="21"/>
      <c r="D116" s="83">
        <v>0</v>
      </c>
      <c r="E116" s="83">
        <v>0</v>
      </c>
      <c r="F116" s="83">
        <v>15</v>
      </c>
      <c r="G116" s="83">
        <v>0</v>
      </c>
      <c r="H116" s="83">
        <v>0</v>
      </c>
      <c r="I116" s="83">
        <v>0</v>
      </c>
    </row>
    <row r="117" spans="1:9" s="2" customFormat="1" ht="25.5" customHeight="1">
      <c r="A117" s="11" t="s">
        <v>959</v>
      </c>
      <c r="B117" s="12"/>
      <c r="C117" s="21"/>
      <c r="D117" s="83">
        <v>0</v>
      </c>
      <c r="E117" s="83">
        <v>0</v>
      </c>
      <c r="F117" s="83">
        <v>30</v>
      </c>
      <c r="G117" s="83">
        <v>0</v>
      </c>
      <c r="H117" s="83">
        <v>0</v>
      </c>
      <c r="I117" s="83">
        <v>0</v>
      </c>
    </row>
    <row r="118" spans="1:9" s="2" customFormat="1" ht="12.75" customHeight="1">
      <c r="A118" s="11" t="s">
        <v>1046</v>
      </c>
      <c r="B118" s="12"/>
      <c r="C118" s="21"/>
      <c r="D118" s="83">
        <v>0</v>
      </c>
      <c r="E118" s="83">
        <v>0</v>
      </c>
      <c r="F118" s="83">
        <v>5889.9</v>
      </c>
      <c r="G118" s="83">
        <v>0</v>
      </c>
      <c r="H118" s="83">
        <v>0</v>
      </c>
      <c r="I118" s="83">
        <v>0</v>
      </c>
    </row>
    <row r="119" spans="1:9" s="2" customFormat="1" ht="27" customHeight="1">
      <c r="A119" s="11" t="s">
        <v>1047</v>
      </c>
      <c r="B119" s="12"/>
      <c r="C119" s="21"/>
      <c r="D119" s="83">
        <v>0</v>
      </c>
      <c r="E119" s="83">
        <v>0</v>
      </c>
      <c r="F119" s="83">
        <v>140</v>
      </c>
      <c r="G119" s="83">
        <v>0</v>
      </c>
      <c r="H119" s="83">
        <v>0</v>
      </c>
      <c r="I119" s="83">
        <v>0</v>
      </c>
    </row>
    <row r="120" spans="1:9" s="2" customFormat="1" ht="27" customHeight="1">
      <c r="A120" s="11" t="s">
        <v>1048</v>
      </c>
      <c r="B120" s="12"/>
      <c r="C120" s="21"/>
      <c r="D120" s="83">
        <v>0</v>
      </c>
      <c r="E120" s="83">
        <v>0</v>
      </c>
      <c r="F120" s="83">
        <v>3000</v>
      </c>
      <c r="G120" s="83">
        <v>0</v>
      </c>
      <c r="H120" s="83">
        <v>0</v>
      </c>
      <c r="I120" s="83">
        <v>0</v>
      </c>
    </row>
    <row r="121" spans="1:9" s="2" customFormat="1" ht="27" customHeight="1">
      <c r="A121" s="11" t="s">
        <v>1049</v>
      </c>
      <c r="B121" s="12"/>
      <c r="C121" s="21"/>
      <c r="D121" s="83">
        <v>0</v>
      </c>
      <c r="E121" s="83">
        <v>0</v>
      </c>
      <c r="F121" s="83">
        <v>5289</v>
      </c>
      <c r="G121" s="83">
        <v>0</v>
      </c>
      <c r="H121" s="83">
        <v>0</v>
      </c>
      <c r="I121" s="83">
        <v>0</v>
      </c>
    </row>
    <row r="122" spans="1:9" s="2" customFormat="1" ht="39" customHeight="1">
      <c r="A122" s="11" t="s">
        <v>1050</v>
      </c>
      <c r="B122" s="12"/>
      <c r="C122" s="21"/>
      <c r="D122" s="83">
        <v>0</v>
      </c>
      <c r="E122" s="83">
        <v>0</v>
      </c>
      <c r="F122" s="83">
        <v>10000</v>
      </c>
      <c r="G122" s="83">
        <v>0</v>
      </c>
      <c r="H122" s="83">
        <v>0</v>
      </c>
      <c r="I122" s="83">
        <v>0</v>
      </c>
    </row>
    <row r="123" spans="1:9" s="2" customFormat="1" ht="39" customHeight="1">
      <c r="A123" s="11" t="s">
        <v>1058</v>
      </c>
      <c r="B123" s="12"/>
      <c r="C123" s="21"/>
      <c r="D123" s="83">
        <v>0</v>
      </c>
      <c r="E123" s="83">
        <v>0</v>
      </c>
      <c r="F123" s="83">
        <v>2634.728</v>
      </c>
      <c r="G123" s="83">
        <v>0</v>
      </c>
      <c r="H123" s="83">
        <v>0</v>
      </c>
      <c r="I123" s="83">
        <v>0</v>
      </c>
    </row>
    <row r="124" spans="1:9" s="2" customFormat="1" ht="39" customHeight="1">
      <c r="A124" s="11" t="s">
        <v>1059</v>
      </c>
      <c r="B124" s="12"/>
      <c r="C124" s="21"/>
      <c r="D124" s="83">
        <v>0</v>
      </c>
      <c r="E124" s="83">
        <v>0</v>
      </c>
      <c r="F124" s="83">
        <v>1527.5</v>
      </c>
      <c r="G124" s="83">
        <v>0</v>
      </c>
      <c r="H124" s="83">
        <v>0</v>
      </c>
      <c r="I124" s="83">
        <v>0</v>
      </c>
    </row>
    <row r="125" spans="1:9" s="2" customFormat="1" ht="49.5" customHeight="1">
      <c r="A125" s="11" t="s">
        <v>1060</v>
      </c>
      <c r="B125" s="12"/>
      <c r="C125" s="21"/>
      <c r="D125" s="83">
        <v>0</v>
      </c>
      <c r="E125" s="83">
        <v>0</v>
      </c>
      <c r="F125" s="83">
        <v>7876.231</v>
      </c>
      <c r="G125" s="83"/>
      <c r="H125" s="83"/>
      <c r="I125" s="83"/>
    </row>
    <row r="126" spans="1:9" s="2" customFormat="1" ht="12.75">
      <c r="A126" s="17" t="s">
        <v>315</v>
      </c>
      <c r="B126" s="17"/>
      <c r="C126" s="21" t="e">
        <f>C2+C3+#REF!+#REF!+#REF!+#REF!+#REF!+#REF!+#REF!+#REF!+#REF!+#REF!+#REF!+#REF!+#REF!+#REF!+#REF!+#REF!+#REF!+#REF!+C4+#REF!+#REF!+#REF!+#REF!+#REF!+#REF!+#REF!+#REF!+#REF!+#REF!+#REF!+#REF!+#REF!+#REF!+#REF!+#REF!+#REF!+#REF!+#REF!+#REF!+#REF!+#REF!+#REF!+#REF!+#REF!+#REF!+#REF!+#REF!+#REF!+#REF!+#REF!+#REF!+#REF!+C5+#REF!+#REF!+#REF!+#REF!+#REF!+#REF!+#REF!+#REF!</f>
        <v>#VALUE!</v>
      </c>
      <c r="D126" s="83">
        <f>SUM(D4:D108)</f>
        <v>187766.43386999998</v>
      </c>
      <c r="E126" s="83">
        <f>SUM(E4:E108)</f>
        <v>169734.80417</v>
      </c>
      <c r="F126" s="83">
        <f>SUM(F4:F125)</f>
        <v>191141.71737</v>
      </c>
      <c r="G126" s="83">
        <f>SUM(G4:G124)</f>
        <v>94022.1</v>
      </c>
      <c r="H126" s="83">
        <f>SUM(H4:H124)</f>
        <v>96613.3</v>
      </c>
      <c r="I126" s="83">
        <f>SUM(I4:I124)</f>
        <v>98036.6</v>
      </c>
    </row>
    <row r="127" spans="4:5" ht="12.75">
      <c r="D127" s="115"/>
      <c r="E127" s="115"/>
    </row>
    <row r="128" spans="4:6" ht="12.75">
      <c r="D128" s="115"/>
      <c r="E128" s="115"/>
      <c r="F128" s="115"/>
    </row>
    <row r="129" spans="4:6" ht="12.75">
      <c r="D129" s="115"/>
      <c r="E129" s="115"/>
      <c r="F129" s="115"/>
    </row>
    <row r="130" spans="4:6" ht="12.75">
      <c r="D130" s="115"/>
      <c r="E130" s="115"/>
      <c r="F130" s="115"/>
    </row>
    <row r="131" ht="12.75">
      <c r="F131" s="115"/>
    </row>
    <row r="133" spans="5:6" ht="12.75">
      <c r="E133" s="115"/>
      <c r="F133" s="115"/>
    </row>
  </sheetData>
  <sheetProtection/>
  <autoFilter ref="A3:G126">
    <sortState ref="A4:G133">
      <sortCondition sortBy="value" ref="D4:D133"/>
    </sortState>
  </autoFilter>
  <mergeCells count="7">
    <mergeCell ref="I2:I3"/>
    <mergeCell ref="H2:H3"/>
    <mergeCell ref="A1:H1"/>
    <mergeCell ref="D2:E2"/>
    <mergeCell ref="F2:F3"/>
    <mergeCell ref="G2:G3"/>
    <mergeCell ref="A2:A3"/>
  </mergeCells>
  <printOptions/>
  <pageMargins left="0.5905511811023623" right="0" top="0.7874015748031497" bottom="0.5905511811023623" header="0.15748031496062992"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oev</dc:creator>
  <cp:keywords/>
  <dc:description/>
  <cp:lastModifiedBy>Римма В. Иоч</cp:lastModifiedBy>
  <cp:lastPrinted>2012-06-09T04:28:12Z</cp:lastPrinted>
  <dcterms:created xsi:type="dcterms:W3CDTF">2007-09-24T09:40:27Z</dcterms:created>
  <dcterms:modified xsi:type="dcterms:W3CDTF">2012-06-18T05:31:10Z</dcterms:modified>
  <cp:category/>
  <cp:version/>
  <cp:contentType/>
  <cp:contentStatus/>
</cp:coreProperties>
</file>