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1.2013 уточненный" sheetId="1" r:id="rId1"/>
  </sheets>
  <definedNames>
    <definedName name="_xlnm._FilterDatabase" localSheetId="0" hidden="1">'Район на 01.01.2013 уточненный'!$A$4:$R$530</definedName>
  </definedNames>
  <calcPr fullCalcOnLoad="1"/>
</workbook>
</file>

<file path=xl/sharedStrings.xml><?xml version="1.0" encoding="utf-8"?>
<sst xmlns="http://schemas.openxmlformats.org/spreadsheetml/2006/main" count="3252" uniqueCount="1622">
  <si>
    <t>Расходы за счет субсидии на обеспечение жильем молодых семей  на обеспечение специалистов, проживающих в сельской местности (по федеральной целевой программе "Социальное развитие села до 2010 года")</t>
  </si>
  <si>
    <t>2.1.</t>
  </si>
  <si>
    <t>Расходы на реализацию мер по улучшению жилищных условий граждан, проживающих в сельской местности</t>
  </si>
  <si>
    <t>Расходы на оплату членских взносов Ассоциации "Совет муниципальных образований Томской области"</t>
  </si>
  <si>
    <t>01.01.2010, не установлен</t>
  </si>
  <si>
    <t>0709</t>
  </si>
  <si>
    <t xml:space="preserve">Закон Томской области от 14 июня 2000 г. N 24-ОЗ "О государственной молодежной политике в Томской области" </t>
  </si>
  <si>
    <t>гл. 5</t>
  </si>
  <si>
    <t>30.06.2000, не установлен</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</si>
  <si>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</si>
  <si>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</si>
  <si>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</si>
  <si>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</si>
  <si>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</si>
  <si>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</si>
  <si>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</si>
  <si>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</si>
  <si>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</si>
  <si>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</si>
  <si>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Иные межбюджетные трансферты на проектирование и строительство газораспределительных сетей многоквартирных домов</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</si>
  <si>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</si>
  <si>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</si>
  <si>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</si>
  <si>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</si>
  <si>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</si>
  <si>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</si>
  <si>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 xml:space="preserve">п.3-4 Порядка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</si>
  <si>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</si>
  <si>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</si>
  <si>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Оказание первичной медико-санитарной помощи, медицинской помощи женщинам в период беременности, во время и после родов и скорой медицинской помощи (за исключением санитарно-авиационной) на территории Колпашевского района</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</si>
  <si>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</si>
  <si>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</si>
  <si>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</si>
  <si>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</si>
  <si>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</si>
  <si>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16.10.2003, не установлен</t>
  </si>
  <si>
    <t>п.6-7</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</si>
  <si>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</si>
  <si>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</si>
  <si>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</si>
  <si>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</si>
  <si>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</si>
  <si>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</si>
  <si>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</si>
  <si>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</si>
  <si>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</si>
  <si>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</si>
  <si>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</si>
  <si>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</si>
  <si>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п.п.12</t>
  </si>
  <si>
    <t>Гл.3, ст.15, п.1, п.п.26</t>
  </si>
  <si>
    <t>Гл.3, ст.15, п.1, п.п.27</t>
  </si>
  <si>
    <t>2.1.35.</t>
  </si>
  <si>
    <t>Расходы на предоставление субсидий некоммерческим организациям, не являющимися бюджетными учреждениями</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</si>
  <si>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</si>
  <si>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</si>
  <si>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</si>
  <si>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</si>
  <si>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</si>
  <si>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</si>
  <si>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</si>
  <si>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</si>
  <si>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</si>
  <si>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Решение Думы Колпашевского района от 23.07.2008 № 515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рамках реализации постановления Администрации Томской области от 23.05.2008 № 99а "О мерах по улучшению жилищных условий граждан, проживающих в сельской местности на территории Томской области"</t>
  </si>
  <si>
    <t xml:space="preserve">Субсидия на комплектование книжных фондов библиотек муниципальных образований </t>
  </si>
  <si>
    <t>п.5-6</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</si>
  <si>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</si>
  <si>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</si>
  <si>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</si>
  <si>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Ст. 31</t>
  </si>
  <si>
    <t>Решение Думы Колпашевского района от 26.12.07 № 415 "Об утверждении Положения о реализации и финансировании мероприятий по содействию занятости населения из средств бюджета муниципального образования "Колпашевский район" на 2008 год"</t>
  </si>
  <si>
    <t>п.1-2</t>
  </si>
  <si>
    <t>Решение Думы Колпашевского района от 08.10.2005 № 418 "Об утверждении положений " (Приложение 1)</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</si>
  <si>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</si>
  <si>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</si>
  <si>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</si>
  <si>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</si>
  <si>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</si>
  <si>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</si>
  <si>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</si>
  <si>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</si>
  <si>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гр.13</t>
  </si>
  <si>
    <t>гр.14</t>
  </si>
  <si>
    <t>гр.15</t>
  </si>
  <si>
    <t>01.01.2007, не установлен</t>
  </si>
  <si>
    <t>Физкультурно - оздоровительная работа и спортивные мероприятия</t>
  </si>
  <si>
    <t>п. 1-2</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</si>
  <si>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</si>
  <si>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 xml:space="preserve">Решение Думы Колпашевского района от 08.10.2005 № 418 "Об утверждении  положений" (Приложение 1) </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</si>
  <si>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</si>
  <si>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</si>
  <si>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</si>
  <si>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</si>
  <si>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</si>
  <si>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</si>
  <si>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</si>
  <si>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</si>
  <si>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</si>
  <si>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</si>
  <si>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</si>
  <si>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</si>
  <si>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</si>
  <si>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</si>
  <si>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</si>
  <si>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</si>
  <si>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</si>
  <si>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</si>
  <si>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</si>
  <si>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</si>
  <si>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</si>
  <si>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</si>
  <si>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п. 2 Положения</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</si>
  <si>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</si>
  <si>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</si>
  <si>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</si>
  <si>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</si>
  <si>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 xml:space="preserve">п. 2-4 Положения  </t>
  </si>
  <si>
    <t>Организация предоставления дополнительного образования на территории муниципального района</t>
  </si>
  <si>
    <t>2.1.31.</t>
  </si>
  <si>
    <t>организация и осуществление мероприятий межпоселенческого характера по работе с детьми и молодежью</t>
  </si>
  <si>
    <t>Мероприятия в области занятости населения</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</si>
  <si>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</si>
  <si>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</si>
  <si>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</si>
  <si>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</si>
  <si>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</si>
  <si>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</si>
  <si>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</si>
  <si>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</si>
  <si>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</si>
  <si>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</si>
  <si>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</si>
  <si>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</si>
  <si>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</si>
  <si>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</si>
  <si>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</si>
  <si>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</si>
  <si>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</si>
  <si>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</si>
  <si>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</si>
  <si>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</si>
  <si>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t>
  </si>
  <si>
    <t>0107</t>
  </si>
  <si>
    <t>0502</t>
  </si>
  <si>
    <t>0408</t>
  </si>
  <si>
    <t>0902</t>
  </si>
  <si>
    <t>0707</t>
  </si>
  <si>
    <t>0309</t>
  </si>
  <si>
    <t>0405</t>
  </si>
  <si>
    <t>25.03.2008-31.12.2008</t>
  </si>
  <si>
    <t>Расходы, связанные с организацией операций с муниципальным имуществом</t>
  </si>
  <si>
    <t>ст.15.1, п.2</t>
  </si>
  <si>
    <t>Код  бюджетной классификации (Рз, Прз)</t>
  </si>
  <si>
    <t>01.07.2007, не установлен</t>
  </si>
  <si>
    <t>Расходы на сопровождение сайта по ведению реестра закупок, реестра контрактов, а также осуществление функций по размещению заказа путем проведения торгов</t>
  </si>
  <si>
    <t xml:space="preserve">Закон Томской области от 14 августа 2007 г. N 170-ОЗ "О межбюджетных отношениях в Томской области" </t>
  </si>
  <si>
    <t>ст. 15</t>
  </si>
  <si>
    <t>01.01.2008 - 31.12.2008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</si>
  <si>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</si>
  <si>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</si>
  <si>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ст. 55</t>
  </si>
  <si>
    <t>ст. 35</t>
  </si>
  <si>
    <t>01.01.2002, не установлен</t>
  </si>
  <si>
    <t>п. 2-3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</si>
  <si>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</si>
  <si>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</si>
  <si>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Иные межбюджетные трансферты на строительство газовой котельной по адресу г. Колпашево, ул. Крылова 9/2</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</si>
  <si>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</si>
  <si>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</si>
  <si>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</si>
  <si>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</si>
  <si>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</si>
  <si>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Расходы на развитие общественных инициатив</t>
  </si>
  <si>
    <t>2.3.</t>
  </si>
  <si>
    <t>Решение Думы Колпашевского района от 10.12.05 № 30 "Об утверждении Положения о порядке назначения,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t>
  </si>
  <si>
    <t>01.01.2010. не установлен</t>
  </si>
  <si>
    <t xml:space="preserve">Закон Томской области от 12 ноября 2001 г. N 119-ОЗ "Об образовании в Томской области" </t>
  </si>
  <si>
    <t>01.01.2010-31.12.2012</t>
  </si>
  <si>
    <t>п.4-5</t>
  </si>
  <si>
    <t>Мероприятия в области сельскохозяйственного производства</t>
  </si>
  <si>
    <t xml:space="preserve">п. 2-5 Положения,      </t>
  </si>
  <si>
    <t>30.03.2007, не установлен</t>
  </si>
  <si>
    <t>ст. 17</t>
  </si>
  <si>
    <t>участие в предупреждении и ликвидации последствий чрезвычайных ситуаций на территории муниципального района</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</si>
  <si>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t>
  </si>
  <si>
    <t>Решение думы Колпашевского района от 21.09.2009 № 701 "Об использовании средств местного бюджета на компенсацию транспортных расходов обучающихся в МОУ "Мараксинская ООШ" муниципального образования "Колпашевский район"</t>
  </si>
  <si>
    <t>21.09.2009, не установлен</t>
  </si>
  <si>
    <t>п.1                           п.1</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</si>
  <si>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</si>
  <si>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27.08.2010-31.12.2011</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</si>
  <si>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</si>
  <si>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</si>
  <si>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</si>
  <si>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0114</t>
  </si>
  <si>
    <t>п. 1</t>
  </si>
  <si>
    <t>01.01.2005, не установлен</t>
  </si>
  <si>
    <t>01.07.2010, до окнчания срока действия ЗТО от 28.12.2007 № 298-ОЗ</t>
  </si>
  <si>
    <t>16.10.2003, не утановлен</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</si>
  <si>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</si>
  <si>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</si>
  <si>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</si>
  <si>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</si>
  <si>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</si>
  <si>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</si>
  <si>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</si>
  <si>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</si>
  <si>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</si>
  <si>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</si>
  <si>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</si>
  <si>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</si>
  <si>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</si>
  <si>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</si>
  <si>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</si>
  <si>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</si>
  <si>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</si>
  <si>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</si>
  <si>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</si>
  <si>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</si>
  <si>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</si>
  <si>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</si>
  <si>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</si>
  <si>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</si>
  <si>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</si>
  <si>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01.01.2008-31.12.2008</t>
  </si>
  <si>
    <t>0412</t>
  </si>
  <si>
    <t>01.01.2002, не указан</t>
  </si>
  <si>
    <t>фактически исполнено</t>
  </si>
  <si>
    <t>гр.0</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</si>
  <si>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</si>
  <si>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</si>
  <si>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</si>
  <si>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</si>
  <si>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</si>
  <si>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</si>
  <si>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</si>
  <si>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</si>
  <si>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п. 3-4 Положения</t>
  </si>
  <si>
    <t>Трудовой кодекс РФ</t>
  </si>
  <si>
    <t>ст. 325,326</t>
  </si>
  <si>
    <t>ст. 33</t>
  </si>
  <si>
    <t>01.02.2002, не установлен</t>
  </si>
  <si>
    <t>14.07.2006, не установлен</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</si>
  <si>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t>
  </si>
  <si>
    <t>01.01.2006, до окончания срока действия ЗТО от 27.01.2006 № 3-ОЗ</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</si>
  <si>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</si>
  <si>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</si>
  <si>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</si>
  <si>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</si>
  <si>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</si>
  <si>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</si>
  <si>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</si>
  <si>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</si>
  <si>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</si>
  <si>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06.03.2006, не установлен</t>
  </si>
  <si>
    <t>0903</t>
  </si>
  <si>
    <t>0904</t>
  </si>
  <si>
    <t xml:space="preserve">Расходы на реализацию районной целевой программы  "Поддержка и развитие малого и среднего предпринимательства  в МО "Колпашевский район"на 2008-2012 годы" </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</si>
  <si>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 за счет средств субвенции из областного бюджета</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</si>
  <si>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</si>
  <si>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</si>
  <si>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</si>
  <si>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</si>
  <si>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Расходы на выплату вознаграждения гражданам, удостоенным звания "Почетный житель Колпашевского района"</t>
  </si>
  <si>
    <t>15.05.2008-31.12.2012</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</si>
  <si>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</si>
  <si>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</si>
  <si>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</si>
  <si>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Закон РФ от 10 июля 1992 г. N 3266-1 "Об образовании"</t>
  </si>
  <si>
    <t>ст. 51</t>
  </si>
  <si>
    <t>Гл.3, ст.15, п.1, п.п.11</t>
  </si>
  <si>
    <t>2.1.3.</t>
  </si>
  <si>
    <t>ст. 4-5</t>
  </si>
  <si>
    <t>Расходы на организацию проведения районных мероприятий в сфере образования</t>
  </si>
  <si>
    <t>01.07.2010, до окончания срока действия ЗТО от 24.11.2009 № 261-ОЗ</t>
  </si>
  <si>
    <t>Расходы на осуществление отдельных государственных полномочий по подготовке проведения статистических переписей</t>
  </si>
  <si>
    <t>Расходы на предоставлении субсидии на компенсацию разницы в тарифах на население по утилизации (захоронению) твёрдых бытовых отходов на полигоне г.Колпашево, с.Тогур</t>
  </si>
  <si>
    <t>2.</t>
  </si>
  <si>
    <t>Расходные обязательства муниципальных районов</t>
  </si>
  <si>
    <t>2.1.11.</t>
  </si>
  <si>
    <t>организация в границах муниципального района электро- и газоснабжения поселений</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</si>
  <si>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</si>
  <si>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</si>
  <si>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</si>
  <si>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</si>
  <si>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</si>
  <si>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</si>
  <si>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</si>
  <si>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</si>
  <si>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</si>
  <si>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</si>
  <si>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</si>
  <si>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</si>
  <si>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</si>
  <si>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</si>
  <si>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</si>
  <si>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</si>
  <si>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</si>
  <si>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01.06.2006, не установлен</t>
  </si>
  <si>
    <t>Решение Думы Колпашевского района от 26.12.2008 № 412 "Об утверждении Положения о порядке проведения районного конкурса "Развитие общественных инициатив на территории Колпашевского района на 2008 год (в редакции от 27.10.2008 №553)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</si>
  <si>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</si>
  <si>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</si>
  <si>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Гл. 4, ст. 11, п.1-2 Положения</t>
  </si>
  <si>
    <t>Расходы на приобретение музыкальных инструментов для муниципальных образовательных учреждений дополнительного образования детей на 2011 год, за счет средств субсидии из областного бюджета</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</si>
  <si>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</si>
  <si>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</si>
  <si>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</si>
  <si>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</si>
  <si>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</si>
  <si>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осуществление дорожной деятельности в соответствии с законодательством РФ, за счёт средств субсидии из областного бюджета</t>
  </si>
  <si>
    <t>Иные межбюджетные трансферты  на компенсацию расходов  по организации теплоснабжения энергоснабжающими организациями, использующими в качестве топлива нефть или мазут за счет средств субсидии</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</si>
  <si>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</si>
  <si>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</si>
  <si>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</si>
  <si>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</si>
  <si>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"Профилактика правонарушений на территории МО "Колпашевский район" на 2010-2012</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</si>
  <si>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</si>
  <si>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Расходы на реализацию программы "Профилактика детского дорожно - транспортного травматизма на территории Томской области в 2010 - 2011 годах" за счет субсидии из областного бюджета</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</si>
  <si>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</si>
  <si>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</si>
  <si>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</si>
  <si>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Расходы на проведение работ по эксплуатации гидротехнических сооружений</t>
  </si>
  <si>
    <t>Решение думы Колпашевского района от 06.03.2006 № 118 "Об утверждении органа, уполномоченного на осуществление функций по размещению заказов для муниципальных заказчиков, органа, уполномоченного на осуществление контроля в сфере размещения муниципальных заказов, органа,  уполномоченного на ведение реестра муниципальных контрактов и Положения о порядке взаимодействия органа, уполномоченного на осуществление функций по размещению заказов для муниципальных заказчиков муниципального образования "Колпашевский район" и муниципальных заказчиков" (в редакции от 25.12.2009 № 763)</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</si>
  <si>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</si>
  <si>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</si>
  <si>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08.09.2009 № 173-ОЗ</t>
  </si>
  <si>
    <t>Расходы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</si>
  <si>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</si>
  <si>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</si>
  <si>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</si>
  <si>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</si>
  <si>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</si>
  <si>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</si>
  <si>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</si>
  <si>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осуществлении денежных выплат медецинскому персоналу фельдшерско - акушерских пунктов, врачам, фельдшерам и медецинским сестрам учреждений и подразделений скорой медецинской помощи за счет средств субвенции из областного бюджета</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</si>
  <si>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</si>
  <si>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</si>
  <si>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МОУ</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</si>
  <si>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</si>
  <si>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</si>
  <si>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</si>
  <si>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</si>
  <si>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</si>
  <si>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</si>
  <si>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гр.18</t>
  </si>
  <si>
    <t>п.14</t>
  </si>
  <si>
    <t>п.4</t>
  </si>
  <si>
    <t>01.01.2011- 31.12.2015</t>
  </si>
  <si>
    <t>Постановление Администрации Колпашевского района от 14.10.2010 № 1289 "Об утверждении долгосрочной целевой программы "Здоровый ребенок" на 2011 - 2013 годы"</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</si>
  <si>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</si>
  <si>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</si>
  <si>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</si>
  <si>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</si>
  <si>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t>
  </si>
  <si>
    <t>п.3 Положения</t>
  </si>
  <si>
    <t>27.02.2007- не установлен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</si>
  <si>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</si>
  <si>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</si>
  <si>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</si>
  <si>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Решение Думы Колпашевского района от 26.12.2008 № 586 "О порядке расходования бюджетных ассигнований, выделенных бюджету МО "Колпашевский район"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t>
  </si>
  <si>
    <t>Расходы в соответствии с распоряжением Администрации ТО от 20.12.2010 № 1120-ра (приобретение дизель-генератора с целью предупреждения черезвычайной ситуации на объектах теплоснабжения)</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</si>
  <si>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</si>
  <si>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</si>
  <si>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</si>
  <si>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</si>
  <si>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</si>
  <si>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</si>
  <si>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</si>
  <si>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осуществление ежемесячной выплаты денежных средств приемным семьям на содержание детей и осуществление ежемесячной оплаты труда приемных родителей</t>
  </si>
  <si>
    <t>2.3.7.</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</si>
  <si>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</si>
  <si>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</si>
  <si>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</si>
  <si>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</si>
  <si>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</si>
  <si>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</si>
  <si>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</si>
  <si>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</si>
  <si>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</si>
  <si>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</si>
  <si>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</si>
  <si>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</si>
  <si>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</si>
  <si>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</si>
  <si>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</si>
  <si>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</si>
  <si>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</si>
  <si>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</si>
  <si>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</si>
  <si>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</si>
  <si>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</si>
  <si>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</si>
  <si>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</si>
  <si>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</si>
  <si>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</si>
  <si>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2.3.29.</t>
  </si>
  <si>
    <t>предоставление субсидий на поддержку экономически значимой региональной программы развития молочного скотоводства</t>
  </si>
  <si>
    <t>предоставление субсидий на возмещение гражданам, ведущим личное подсобное хозяйство, затрат по искусственному осеменению коров</t>
  </si>
  <si>
    <t>предоставление субсидий на возмещение затрат по внесению органических удобрений</t>
  </si>
  <si>
    <t>на осуществление управленческих функций органами местного самоуправления</t>
  </si>
  <si>
    <t>предоставление субсидий на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2005-2010 годах на срок до 8 лет</t>
  </si>
  <si>
    <t>расходы на содержание единой дежурно-диспетчерской службы</t>
  </si>
  <si>
    <t>Гл. 1-2 Положения</t>
  </si>
  <si>
    <t xml:space="preserve">п.1 </t>
  </si>
  <si>
    <t>01.01.2011-31.12.2011</t>
  </si>
  <si>
    <t>Постановление Администрации Колпашевского района от 25.01.2011 № 23 "О порядке расходования средств бюджетных ассигнований, выделенных за счет средств резервного фонда финансирования непредвиденных расходов Администрации Томской области бюджету муниципального образования "Колпашевский район", на приобретение передвижной электростанции в утепленном блок-контейнере на автомобильном шасси"</t>
  </si>
  <si>
    <t>25.01.2011- 15.03.2011</t>
  </si>
  <si>
    <t>Постановление Администрации Колпашевского района от 18.02.2011 № 125 "О применении понижающих коэффициентов к нормативным расходам финансирования общеобразовательных учреждений"</t>
  </si>
  <si>
    <t>01.05.2011- 31.12.2011</t>
  </si>
  <si>
    <t>01.01.2011, не установлен</t>
  </si>
  <si>
    <t>Расходы на реализацию долгосрочной целевой программы "Медецинские кадры"  на 2011 - 2013 годы</t>
  </si>
  <si>
    <t>Иные межбюджетные трансферты на проведение торжественных мероприятий, приуроченных ко Дню Защитника Отечества к Международному женскому дню</t>
  </si>
  <si>
    <t>Иные межбюджетные трансферты на оснащение вертолетной площадки</t>
  </si>
  <si>
    <t>Иные межбюджетные трансферты на оплату расходов тепловой энергии МУ "Инкинский СКДЦ"</t>
  </si>
  <si>
    <t>Иные межбюджетные трансферты на приобретение и установку приборов учета воды и тепла в административном здании Администрации поселения</t>
  </si>
  <si>
    <t>Иные межбюджетные трансферты на расходы, связанные с благоустройством поселения</t>
  </si>
  <si>
    <t>Иные межбюджетные трансферты на дорожную деятельность в отношении автомобильных дорог местного значения</t>
  </si>
  <si>
    <t>Иные межбюджетные трансферты на ремонт двух павильонов у водопроводных башен</t>
  </si>
  <si>
    <t>Иные межбюджетные трансферты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</si>
  <si>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Иные межбюджетные трансферты на реализацию мероприятий по организации уличного освещения</t>
  </si>
  <si>
    <t>Иные межбюджетные трансферты на приобретение сетей теплоснабжения для газовых котельных г. Колпашево и с. Тогур</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</si>
  <si>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</si>
  <si>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29.09.2010 № 919)</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</si>
  <si>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</si>
  <si>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</si>
  <si>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</si>
  <si>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18.03.2011- 31.12.2011</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</si>
  <si>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</si>
  <si>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18.03.2011 № 28 "О применении в 2011 году коэффициентов к тарифам для населения по утилизации (захоронению) твёрдых бытовых отходов на полигонах г. Колпашево и с. Тогур"</t>
  </si>
  <si>
    <t>01.01.2011- 31.12.2011</t>
  </si>
  <si>
    <t>Постановление Администрации Колпашевского района от 21.03.2011 № 237 "О порядке и условиях предоставления субсидии на компенсацию разницы в тарифах для населения по утилизации (захоронению) твёрдых бытовых отходов на полигоне г. Колпашево и с. Тогур</t>
  </si>
  <si>
    <t>п. 1-6</t>
  </si>
  <si>
    <t>п.1-5</t>
  </si>
  <si>
    <t>Решение Думы Колпашевского района от 18.03.2011 № 20 "О порядке использования средств субсидии из областного бюджета на финансирование расходов, связанных с обеспечением условий для развития физической культуры и массового спорта на территории муниципального образования "Колпашевский район"</t>
  </si>
  <si>
    <t>п.1-7</t>
  </si>
  <si>
    <t>п.1.3</t>
  </si>
  <si>
    <t>Федеральный Закон от 12.01.1996 № 7-ФЗ "О некоммерческих организациях"</t>
  </si>
  <si>
    <t>24.01.1996, не установлен</t>
  </si>
  <si>
    <t>Федеральный Закон от 21.07.2005 № 94-ФЗ "О размещении заказов на поставки товаров, выполнение работ, оказание услуг для государственных и муниципальных нужд"</t>
  </si>
  <si>
    <t>ст. 4 часть 2, ст.17, 18</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</si>
  <si>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</si>
  <si>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</si>
  <si>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</si>
  <si>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</si>
  <si>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</si>
  <si>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</si>
  <si>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</si>
  <si>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</si>
  <si>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</si>
  <si>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</si>
  <si>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</si>
  <si>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</si>
  <si>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</si>
  <si>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</si>
  <si>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Распоряжение Администрации Томской области от 20.12.2010 № 1120-ра "О выделении бюджетных ассигнований бюджету МО "Колпашевский район"</t>
  </si>
  <si>
    <t>20.12.2010- 15.03.2011</t>
  </si>
  <si>
    <t>ст.31 п. 2,4</t>
  </si>
  <si>
    <t xml:space="preserve">Закон Томской области от 28.12.2010 г. N 327-ОЗ "Об областном бюджете на 2011 год и на плановый период 2012 и 2013 годов" </t>
  </si>
  <si>
    <t>табл. 1 прил.16</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</si>
  <si>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</si>
  <si>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</si>
  <si>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</si>
  <si>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</si>
  <si>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</si>
  <si>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</si>
  <si>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</si>
  <si>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</si>
  <si>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</si>
  <si>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</si>
  <si>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Федеральный закон от 10.12.1995 N 196-ФЗ "О безопасности дорожного движения"</t>
  </si>
  <si>
    <t>Гл. 3, ст. 10</t>
  </si>
  <si>
    <t>11.12.1995, не установлен</t>
  </si>
  <si>
    <t xml:space="preserve">Распоряжение Администрации Томской области от 10.12.2009 № 894-ра "Об утверждении программы "Профилактика детского дорожно-транспортного травматизма на территории Томской области в 2010 - 2011 годах"
</t>
  </si>
  <si>
    <t>10.12.2009- 31.12.2011</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</si>
  <si>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</si>
  <si>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</si>
  <si>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</si>
  <si>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</si>
  <si>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</si>
  <si>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</si>
  <si>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</si>
  <si>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</si>
  <si>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</si>
  <si>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</si>
  <si>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</si>
  <si>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</si>
  <si>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</si>
  <si>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</si>
  <si>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</si>
  <si>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</si>
  <si>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</si>
  <si>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 xml:space="preserve">Закон Томской области от 17.12.2007 N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рамках общеобразовательных программ в муниципальных общеобразовательных учреждениях" </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</si>
  <si>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</si>
  <si>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</si>
  <si>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</si>
  <si>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</si>
  <si>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</si>
  <si>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</si>
  <si>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</si>
  <si>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</si>
  <si>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</si>
  <si>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</si>
  <si>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</si>
  <si>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</si>
  <si>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</si>
  <si>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</si>
  <si>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</si>
  <si>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Закон Томской области от 14.05.2010 N 87-ОЗ "О наделении органов местного самоуправления отдельными гсударственными полномочиями по подготовке и проведению на территории Томской области Всероссийской переписи населения 2010 года"</t>
  </si>
  <si>
    <t>ст.15.1</t>
  </si>
  <si>
    <t>п.2</t>
  </si>
  <si>
    <t>Постановление Правительства РФ от 17.12.2010 N 1050 "О федеральной целевой программе "Жилище" на 2011 - 2015 годы"</t>
  </si>
  <si>
    <t>01.01.2010 -31.12.2015</t>
  </si>
  <si>
    <t>Федеральный закон от 12.01.1996 N 7-ФЗ "О некоммерческих организациях"</t>
  </si>
  <si>
    <t>ст.31</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</si>
  <si>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</si>
  <si>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</si>
  <si>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Федеральный закон от 29 декабря 2006 г. N 264-ФЗ
"О развитии сельского хозяйства"</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</si>
  <si>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</si>
  <si>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</si>
  <si>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</si>
  <si>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</si>
  <si>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</si>
  <si>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25.04.2011, не установлен</t>
  </si>
  <si>
    <t>Расходы в соответствии с распоряжением АТО от 28.03.2011 № 14-р-в МДОУ "Чажемтовский детский сад" на приобретение элементов детской игровой площадки</t>
  </si>
  <si>
    <t>Расходы в соответствии с распоряжением АТО от 21.03.2011 № 10-р-в МУ ДОД "ДЮСШ имени О.Рахматулиной" на укрепление спортивной базы</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</si>
  <si>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</si>
  <si>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</si>
  <si>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Субвенция на возмещение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2005 - 2011 годах на срок до 8 лет</t>
  </si>
  <si>
    <t>Расходы на издание книги "И помнит мир спасенный Колпашевских бойцов"</t>
  </si>
  <si>
    <t>Расходы на проведение ремонта жилых помещений ветеранам ВОВ 1941-1945 гг. тружинникам тыла и другим категориям граждан</t>
  </si>
  <si>
    <t>Расходы в соответствии с распоряжением АТО от 31.01.2011 № 45-ра) на проведение социологических исследований</t>
  </si>
  <si>
    <t>Расходы в соответствии с распоряжением АТО от 28.03.2011 № 14-р-в на приобретение железобетонных конструкций для строительства храма "Церковь Вознесения" в г.Колпашево</t>
  </si>
  <si>
    <t>Иные межбюджетные трансферты в соответствии с распоряжением АТО от 28.03.2011 № 14-р-в на укрепление материально-технической базы ДК с.Озерное</t>
  </si>
  <si>
    <t>Иные межбюджетные трансферты в соответствии с распоряжением АТО от 21.03.2011 № 10-р-в на укрепление материально-технической базы ДК "Рыбник"</t>
  </si>
  <si>
    <t>Иные межбюджетные трансферты на поощрение поселенческих команд, учавствовавших в 4-й межпоселенческой спартакиаде в с.Копыловка</t>
  </si>
  <si>
    <t>Иные межбюджетные трансферты на разработку проекта генерального плана Колпашевского городского поселения Колпашевского района ТО и правил землепользования и застройки</t>
  </si>
  <si>
    <t>Иные межбюджетные трансферты на примирование победителей областного ежегодного конкурса на звание "Самое благоустроенное образование Томской области"</t>
  </si>
  <si>
    <t>20.04.2011- 31.12.2011</t>
  </si>
  <si>
    <t>Решение Думы Колпашевского района от 25.04.2011 № 40 "О порядке использования в 2011 году средств бюджета муниципального образования "Колпашевский район" на издание книги "И помнит мир спасённый Колпашевских бойцов"</t>
  </si>
  <si>
    <t>25.04.2011- 31.12.2011</t>
  </si>
  <si>
    <t>Постановление Администрации Колпашевского района от 10.02.2011 № 100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</si>
  <si>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10.02.2011 - 31.03.2011</t>
  </si>
  <si>
    <t>Субсидия на развитие инфраструктуры дошкольного образования</t>
  </si>
  <si>
    <t>п.2 п.п.6</t>
  </si>
  <si>
    <t>Решение Думы Колпашевского района от 20.06.2011 № 59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</si>
  <si>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18.04.2011- 31.12.2011</t>
  </si>
  <si>
    <t>Расходы в соответствии с распоряжением Администрации ТО от 31.05.2011 № 35-р-в МУ ДОД "ДЮСШ имени О.Рахматулиной" на укрепление спортивной базы</t>
  </si>
  <si>
    <t>Распоряжение Администрации Томской области от 31.05.2011 № 35-р-в "О выделении бюджетных ассигнований из резервного фонда финансирования непредвиденных расходов Администрации Томской области"</t>
  </si>
  <si>
    <t>п.1 п.п.7</t>
  </si>
  <si>
    <t>31.05.2011- 31.12.2011</t>
  </si>
  <si>
    <t>Субсидия на оснащение школьных автобусов аппаратурой спутниковой навигации ГЛОНАС</t>
  </si>
  <si>
    <t>п.2 п.п.13</t>
  </si>
  <si>
    <t>Стипендии Губернатора ТО лучшим учителям областных государственных и муниципальных образовательных учреждений ТО в соответствии с порядком, установленным Администрацией ТО</t>
  </si>
  <si>
    <t>Постановление Администрации Томской области от 20.04.2011 № 108а "Об утверждении Порядка предоставления иныхмежбюджетных трансфертов на выплату в 2011 году стипендии Губернатора Томской области лучшим учителям муниципальных образовательных учреждений Томской области"</t>
  </si>
  <si>
    <t>Решение Думы Колпашевского района от 23.05.2011  №  48 "О порядке использования иных межбюджетных трансфертов на выплату в 2011 году стипендии Губернатора Томской области лучшим учителям муниципальных общеобразовательных учреждений Томской области"</t>
  </si>
  <si>
    <t>Постановление Правительства РФ от 3.12.2002 г. N 858 "О федеральной целевой программе "Социальное развитие села до 2013 года"</t>
  </si>
  <si>
    <t>03.12.2002, не установлен</t>
  </si>
  <si>
    <t xml:space="preserve">Закон Томской области от 19.02.2004 N 30-ОЗ "Об утверждении областной целевой программы "Социальное развитие села Томской области до 2012 года" </t>
  </si>
  <si>
    <t>ст.1</t>
  </si>
  <si>
    <t>24.02.2004, не установлен</t>
  </si>
  <si>
    <t>Решение Думы Колпашевского района от 23.05.2011  №  51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t>
  </si>
  <si>
    <t>23.05.2011- 31.12.2011</t>
  </si>
  <si>
    <t>Расходы в соответствии с распоряжением АТО от 20.04.2011 № 22-р-в на приобретение железобетонных конструкций для строительства храма "Церковь Вознесения" в г.Колпашево</t>
  </si>
  <si>
    <t>Постановление Администрации Колпашевского района от 11.05.2011 № 442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</si>
  <si>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11.05.2011- 31.12.2011</t>
  </si>
  <si>
    <t>Распоряжение Администрации Томской области от 20.04.2011 N 22-р-в "О выделении бюджетных ассигнований из резервного фонда финансирования непредвиденных расходов Администрации Томской области"</t>
  </si>
  <si>
    <t>Распоряжение Администрации Томской области от 28.03.2011 N 14-р-в "О выделении бюджетных ассигнований из резервного фонда финансирования непредвиденных расходов Администрации Томской области"</t>
  </si>
  <si>
    <t>28.03.2011- 31.12.2011</t>
  </si>
  <si>
    <t>Софинансирование расходов для ремонта и (или) переустройства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(в соответствии с распоряжением АТО от 06.05.2011 № 382-ра)</t>
  </si>
  <si>
    <t>Распоряжение Администрации Томской области от 06.05.2011 N 382-ра "О выделении бюджетных ассигнований бюджетам муниципальных образований Томской области"</t>
  </si>
  <si>
    <t>06.05.2011- 31.12.2011</t>
  </si>
  <si>
    <t>Федеральный закон от 12.01.1995 N 5-ФЗ "О ветеранах"</t>
  </si>
  <si>
    <t>ст. 21</t>
  </si>
  <si>
    <t>16.01.1995, не установлен</t>
  </si>
  <si>
    <t>Решение Думы Колпашевского района от 20.06.2011 № 73 "О предоставлении за счет средств бюджета муниципального образования "Колпашевский район" социальной помощи на ремонт и (или) переустройство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2009-2011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</si>
  <si>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20.06.2011- 31.12.2011</t>
  </si>
  <si>
    <t>Иные межбюджетные трансферты для МУ "ЦКД" на приобретение танцевальной обуви для ансамбля русской песни ГДК (в соответствии с распоряжением Администрации ТО от 13.05.2011 № 29-р-в)</t>
  </si>
  <si>
    <t>Иные межбюджетные трансферты для финансового обеспечения работ по устройству противопожарных защитных (минерализированных) полос для защиты с.Копыловка, копыловского сельского поселения, расположенного в 100 метрах от леса (в соответствии с распоряжением Администрации ТО от 04.05.2011 № 365-ра)</t>
  </si>
  <si>
    <t>Иные межбюджетные трансферты на приобретение материалов для ремонта канализационной системы домов по адресу: г.Колпашево, ул. Чапаева, 18/1, 20/1 (в соответствиии с распоряжением АТО от 20.04.2011 № 22-р-в)</t>
  </si>
  <si>
    <t>Иные межбюджетные трансферты на приобретение автомобиля УАЗ 220694 для перевозки пассажиров</t>
  </si>
  <si>
    <t>Иные межбюджетные трансферты на приобретение материалов на ремонт и содержание уличного освещения</t>
  </si>
  <si>
    <t>Иные межбюджетные трансферты на приобретение контейнеров для сбора бытового мусора</t>
  </si>
  <si>
    <t>Иные межбюджетные трансферты на строительство и проведение ремонта объектов спортивной направленности</t>
  </si>
  <si>
    <t>Иные межбюджетные трансферты на выполнение работ по изготовлению проектно-сметной документации с инженерно-геологическими изысканиями</t>
  </si>
  <si>
    <t>Иные межбюджетные трансферты на проведение работ по ремонту и утеплению фасада жилого дома по ул. Коммунистическая 6/1</t>
  </si>
  <si>
    <t>Иные межбюджетные трансферты на подготовку генеральных планов, правил землепользования и застройки поселений и городских округов</t>
  </si>
  <si>
    <t>Расходы в соответствии с распоряжением АТО от 16.05.2011 № 414-ра) на проведение социологических исследований</t>
  </si>
  <si>
    <t>Распоряжение Админстрации Томской области от 31.01.2011 № 45-ра "О выделении бюджетных ассигнований бюджетам муниципальных образований Томской области"</t>
  </si>
  <si>
    <t>31.01.2011- 20.03.2011</t>
  </si>
  <si>
    <t>Распоряжение Админстрации Томской области от 16.05.2011 № 414-ра "О выделении бюджетных ассигнований бюджетам муниципальных образований Томской области"</t>
  </si>
  <si>
    <t>16.05.2011- 31.12.2011</t>
  </si>
  <si>
    <t>Постановление Администрации Колпашевского района от 02.06.2011 № 530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</si>
  <si>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02.06.2011 - 31.03.2011</t>
  </si>
  <si>
    <t>МБТ для проведения аварийно-восстановительных работ на автомобильной дороге "Тогур-Север-Дальнее-Куржино-Копыловка" (в соответствии с распоряжением Администрации ТО от 18.07.2011 № 678-ра)</t>
  </si>
  <si>
    <t>МБТ на приобретение жилых помещений для отселения жителей г.Колпашево из опасной зоны обрушающихся берегов р.Оби, проживающих по адресам: г. Колпашево- ул. Дзержинского, дд. 57,67,71,73,75 (в соответствии с рапоряжением Администрации ТО от 30.03.2011 № 247-ра)</t>
  </si>
  <si>
    <t>МБТ на предупреждение черезвычайной ситуации, связанной с переселением жителей домов с обрушающегося берега р.Обь в районе г.Колпашево, ул. Дзержинского, дд. 37,47,49,59,77,79 (в соответствии с рапоряжением Администрации ТО от 18.07.2011 № 675-ра)</t>
  </si>
  <si>
    <t>Решение Думы Колпашевского района от 23.08.2010 № 912 "О порядке расходования средств субсидии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 согласно списку переселенных жилых домов с обрушающегося берега р.Обь в 2010 году" (в редакции от 06.07.2011 № 79)</t>
  </si>
  <si>
    <t>п.1-8</t>
  </si>
  <si>
    <t>23.08.2010- не установлен</t>
  </si>
  <si>
    <t>Решение Думы Колпашевского района от 29.08.2011 № 107 "О порядке расходования средств иных межбюджетных трансфертов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t>
  </si>
  <si>
    <t>29.08.2011- 31.12.2011</t>
  </si>
  <si>
    <t>МБТ для МДОУ "Детский сад комбинированного вида № 17" на приобретение элементов детской игровой площадки (в соответствии с распоряжением Администрации ТО от 16.06.2011 № 43-р-в)</t>
  </si>
  <si>
    <t>МБТ по распоряжению Администрации ТО от 02.08.2011 № 58-р-в</t>
  </si>
  <si>
    <t>Постановление Администрации Колпашевского района от 23.08.2011 № 849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</si>
  <si>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23.08.2011- 31.12.2011</t>
  </si>
  <si>
    <t>МБТ МДОУ "Озеренский детский сад" на приобретение малых архитектурных форм для игрового участка (в соответствии с распоряжением Администрации ТО от 29.06.2011 № 48-р-в)</t>
  </si>
  <si>
    <t>Расходы в соответствиии с распоряжением Администрации ТО от 29.06.2011 № 48-р-в МОУ ДОД "Детская школа искусств с. Тогур" на приобретение духовых инструментов и комплектующих к ним</t>
  </si>
  <si>
    <t>Расходы в соответствии с распоряжением Администрации ТО от 29.06.2011 № 48-р-в МОУ "СОШ № 2" на приобретение танцевальных костюмов для хореографического коллектива "Глория"</t>
  </si>
  <si>
    <t>Расходы в соответствии с распоряжением Администрации ТО от 20.07.2011 № 53-р-в МОУ "СОШ № 4" на приобретение и установку спортивной игровой площадки</t>
  </si>
  <si>
    <t>Расходы на укрепление материально- 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</si>
  <si>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</si>
  <si>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Межбюджетные трансферты по распоряжению Администрации Томской области от 02.08.2011 № 58-р-в</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</si>
  <si>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</si>
  <si>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</si>
  <si>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t>
  </si>
  <si>
    <t>19.08.2011, не установлен</t>
  </si>
  <si>
    <t>расходы на содержание МКУ "Архив"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</si>
  <si>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</si>
  <si>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Расходы в соответствии с распоряжением АТО от 12.07.2011 № 658-ра на возмещение затрат, связанных со строительством храма "Церковь Вознесения" в г.Колпашево</t>
  </si>
  <si>
    <t>ИМБТ для продолжения строительства храма в г. Колпашево (в соответствии с распоряжением Администрации ТО от 20.07.2011 № 690-ра)</t>
  </si>
  <si>
    <t>МБТ на приобретение оргтехники для Колпашевского районного Совета ветеранов (пенсионеров) войны, труда, Вооруженных сил и правоохранительных органов (в соответствии с распоряжением Администрации ТО от 02.08.2011 № 58-р-в</t>
  </si>
  <si>
    <t>Распоряжение Администрации Томской области от 12.07.2011 N 658-ра "О выделении бюджетных ассигнований резервного фонда финансирования непредвиденных расходов Администрации Томской области"</t>
  </si>
  <si>
    <t>пп.1) п.1</t>
  </si>
  <si>
    <t>12.07.2011- 31.12.2011</t>
  </si>
  <si>
    <t>Распоряжение Администрации Томской области от 20.07.2011 N 690-ра "О выделении бюджетных ассигнований резервного фонда финансирования непредвиденных расходов Администрации Томской области"</t>
  </si>
  <si>
    <t>Иные межбюджетные трансферты на компенсацию части расходов граждан на организацию водоснабжения жилья</t>
  </si>
  <si>
    <t>Иные межбюджетные трансферты на приобретение материалов и оборудования для детской площадки в д.Маракса, ул. Межлесхозная, 15/1 (в соответствии с распоряжением Администрации ТО от 20.07.2011 № 53-ра)</t>
  </si>
  <si>
    <t>Иные межбюджетные трансферты на приобретение материалов МУ "ЦКД" для ремонта помещений Дома культуры "Рыбник", в соответствии с распоряжением АТО от 02.08.2011 № 58-р-в)</t>
  </si>
  <si>
    <t>Иные межбюджетные трансферты на выполнение инженерно- геологического обоснования для проектирования газовых котельных</t>
  </si>
  <si>
    <t>Иные межбюджетные трансферты на укрепление материально-технической базы МУ "Инкинский СКДЦ" (в соответствии с распоряжением АТО от 20.07.2011 № 53-р-в)</t>
  </si>
  <si>
    <t>Распоряжение Администрации Томской области от 02.08.2011 N 58-р-в "О выделении бюджетных ассигнований из резервного фонда финансирования непредвиденных расходов Администрации Томской области"</t>
  </si>
  <si>
    <t>пп а) п.8)</t>
  </si>
  <si>
    <t>02.08.2011- 31.12.2011</t>
  </si>
  <si>
    <t>Постановление Администрации Томской области от 16.06.2011 N 184а "О порядке предоставления иных межбюджетных трансфертов на укрепление материально-технической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</si>
  <si>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11.07.2011- 31.12.2012</t>
  </si>
  <si>
    <t>Постановление Администрации Томской области от 10.06.2011 N 135а "О порядке предоставления иных межбюджетных трансфертов на обеспечение организации и проведение подготовки и переподготовки медицинских кадров муниципальных учреждений здравоохранения"</t>
  </si>
  <si>
    <t>п 1-3</t>
  </si>
  <si>
    <t>27.05.2011- 31.12.2011</t>
  </si>
  <si>
    <t>пп з) п.8)</t>
  </si>
  <si>
    <t>Распоряжение Администрации Томской области от 20.07.2011 N 53-р-в "О выделении бюджетных ассигнований из резервного фонда финансирования непредвиденных расходов Администрации Томской области"</t>
  </si>
  <si>
    <t>пп в) п.8)</t>
  </si>
  <si>
    <t>20.07.2011- 31.12.2011</t>
  </si>
  <si>
    <t>Распоряжение Администрации Томской области от 29.06.2011 N 48-р-в "О выделении бюджетных ассигнований из резервного фонда финансирования непредвиденных расходов Администрации Томской области"</t>
  </si>
  <si>
    <t>пп а) п.7)</t>
  </si>
  <si>
    <t>29.06.2011- 31.12.2011</t>
  </si>
  <si>
    <t>пп в) п.7)</t>
  </si>
  <si>
    <t>пп б) п.7)</t>
  </si>
  <si>
    <t>пп д),е) п.8)</t>
  </si>
  <si>
    <t>пп в),г) п.8)</t>
  </si>
  <si>
    <t>Распоряжение Администрации Томской области от 16.06.2011 N 43-р-в "О выделении бюджетных ассигнований из резервного фонда финансирования непредвиденных расходов Администрации Томской области"</t>
  </si>
  <si>
    <t>16.06.2011- 31.12.2011</t>
  </si>
  <si>
    <t>п.9)</t>
  </si>
  <si>
    <t>Распоряжение Администрации Томской области от 18.07.2011 № 675-ра "О выделении бюджетных ассигнований бюджету муниципального образования "Колпашевский район"</t>
  </si>
  <si>
    <t>18.07.2011- 31.12.2011</t>
  </si>
  <si>
    <t>Распоряжение Администрации Томской области от 30.03.2011 N 247-ра "О внесении изменений в распоряжение 
Администрации Томской области от 19.08.2010 N 710-ра"</t>
  </si>
  <si>
    <t>25.02.2011- 31.12.2011</t>
  </si>
  <si>
    <t>Распоряжение Администрации Томской области от 18.07.2011 N 678-ра "О выделении бюджетных ассигнований бюджету муниципального образования "Колпашевский район"</t>
  </si>
  <si>
    <t>Иные межбюджетные трансферты на приобретение материалов для ремонта квартир малообеспеченных пенсионеров в с.Чажемто (в соответствии с распоряжением АТО от 09.06.2011 № 40-р-в)</t>
  </si>
  <si>
    <t>Иные межбюджетные трансферты на поощрение поселенческих команд, учавствовавших в 6-й летней межпоселенческой спартакиаде в д. Новогорное</t>
  </si>
  <si>
    <t>Иные межбюджетные трансферты на строительство и оборудование помещения для установки резервного источника электроснабжения котельной и ремонт теплотрассы в с.Инкино</t>
  </si>
  <si>
    <t>Иные межбюджетные трансферты на ремонт водопровода в с.Маракса</t>
  </si>
  <si>
    <t>Иные межбюджетные трансферты на укрепление материально- технической базы МУ "Саровский СКДЦ" (в соответствии с распоряжением АТО от 16.06.2011 № 562-ра)</t>
  </si>
  <si>
    <t>Иные межбюджетные трансферты на изготовление и установку детских игровых площадок по адресам: г.Колпашево ул.Коммунистическая 7, с.Тогур, ул. Октябрьская, 111 в соответствии с распоряжением АТО от 02.08.2011 № 58-р-в</t>
  </si>
  <si>
    <t>Иные межбюджетные трансферты на исполнение судебных актов по обеспечению жилыми помещениями детей-сирот, оставшихся без попечения родителей, а также лиц из их числа, не имеющих закрепленного жилого помещения</t>
  </si>
  <si>
    <t>Иные межбюджетные трансферты на ремонт теплосети и сети горячего водоснабжения по адресу: г.Колпашево, мкр.Геолог, 16 (от тепловой камеры ТК-7 до МДОУ № 3)</t>
  </si>
  <si>
    <t>Иные межбюджетные трансферты МО "Чажемтовское сельское поселение" на строительство ВЛЭП по ул. Ягодная с. Чажемто"</t>
  </si>
  <si>
    <t>Иные межбюджетные трансферты МО "Чажемтовское сельское поселение" на строительство ВЛЭП по пер.Таежному с. Чажемто</t>
  </si>
  <si>
    <t>Иные межбюджетные трансферты МО "Чажемтовское сельское поселение" на строительство гравированной дороги по ул. Ягодная в с.Чажемто с. Чажемто</t>
  </si>
  <si>
    <t>Дотации на поддержку мер по обеспечению сбалансированности местных бюджетов</t>
  </si>
  <si>
    <t>Иные межбюджетные трансферты на строительство инженерной инфраструктуры территорий индивидуальной застройки в с.Чажемто (в соответствии с распоряжением АТО от 20.07.2011 № 690-ра)</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</si>
  <si>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</si>
  <si>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</si>
  <si>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</si>
  <si>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</si>
  <si>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Иные межбюджетные трансферты на укрепление материально-технической базы МУ "Библиотека" (в соответствии с распоряжением АТО от 25.08.2011 № 65-р-в)</t>
  </si>
  <si>
    <t>Иные межбюджетные трансферты на укрепление материально-технической базы МУ "Новоселовский СКДЦ"</t>
  </si>
  <si>
    <t>Иные межбюджетные трансферты на укрепление материально-технической базы МУ "Саровский СКДЦ"</t>
  </si>
  <si>
    <t>Иные межбюджетные трансферты на укрепление материально-технической базы МУ "Саровский СКДЦ" (в соответствии с распоряжением АТО от 22.09.2011 № 72-р-в)</t>
  </si>
  <si>
    <t>Иные межбюджетные трансферты на изготовление и установку стелы в с. Чугунка погибшим землякам - участникам ВОв (в соответствии с распоряжением Адмсинистрации ТО от 12.08.2011 № 61-р-в)</t>
  </si>
  <si>
    <t>Иные межбюджетные трансферты на приобретение театральных кресел МУ "Новогоренский СКДЦ" (в соответствии с распоряжением Администрации ТО от 12.08.2011 № 61-р-в)</t>
  </si>
  <si>
    <t>Иные межбюджетные трансферты на разработку проекта раздевалки на стадионе в с. Тогур (в соответствии с распоряжением Администрации ТО от 25.08.2011 № 65-р-в)</t>
  </si>
  <si>
    <t>Иные межбюджетные трансферты на приобретение мебели МУ "Саровский СКДЦ", на укрепление материально-технической базы ДК с. Новоильинка (в соответствии с распоряжением Администрации ТО от 12.08.2011 № 61-р-в)</t>
  </si>
  <si>
    <t>Иные межбюджетные трансферты на подготовку и проведение поселенческой сельскохозяйственной ярмарки</t>
  </si>
  <si>
    <t>Иные межбюджетные трансферты на приобретение занавеса для сцены МУ "ЦКД", в том числе для ДК "Рыбник" (в соответствии с распоряжением Администрации ТО от 12.08.2011 № 61-р-в)</t>
  </si>
  <si>
    <t>Иные межбюджетные трансферты МУ "Чажемтовский СКДЦ" (в соответствии с распоряжением Администрации ТО от 12.08.2011 № 61-р-в)</t>
  </si>
  <si>
    <t>Иные межбюджетные трансферты на проведение выборов Главы муниципального образования "Колпашевское городское поселение"</t>
  </si>
  <si>
    <t>Иные межбюджетные трансферты на исполнение судебного решения по обеспечению жилыми помещениями детей-сирот, оставшихся без попечения родителей, а также детей из их числа, не имеющих закрепленного жилого помещения</t>
  </si>
  <si>
    <t>Иные межбюджетные трансферты на капитальный ремонт муниципальных жилых помещений</t>
  </si>
  <si>
    <t>Иные межбюджетные трансферты на ремонт жилого дома по адресу: с. Чажемто, ул. Зеленая, 2 (в соответствии с распоряжением Администрации ТО от 11.08.2011 № 778-ра)</t>
  </si>
  <si>
    <t>Иные межбюджетные трансферты на строительство комплексной спортивной площадки в с.Тогур Колпашевского района</t>
  </si>
  <si>
    <t>Субсидия бюджетам МО на организацию проведения обучения основам энергосбережения, в рамках ДЦП "Энергосбережение и повышение энергетической Эффективности на территории ТО на 2010-2012 годы и на перспективу до 2020 года"</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</si>
  <si>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</si>
  <si>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</si>
  <si>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</si>
  <si>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МБТ МДОУ "Детский сад общеразвивающего вида № 19" г.Колпашево на приобретение игрового оборудования</t>
  </si>
  <si>
    <t>Распоряжение Администрации Томской области от 25.08.2011 N 65-р-в "О выделении бюджетных ассигнований из резервного фонда финансирования непредвиденных расходов Администрации Томской области"</t>
  </si>
  <si>
    <t>пп в) п.6)</t>
  </si>
  <si>
    <t>25.08.2011- 31.12.2011</t>
  </si>
  <si>
    <t>Постановление Администрации Колпашевского района от 12.09.2011 № 961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</si>
  <si>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12.09.2011- 31.12.2011</t>
  </si>
  <si>
    <t>Расходы на укрепление материально-технической базы муниципальных образовательных учреждений, приобретение материалов для ремонта муниципальных образовательных учреждений (в соответствии с распоряжением АТО от 12.08.2011 № 61-р-в)</t>
  </si>
  <si>
    <t>Распоряжение Администрации Томской области от 12.08.2011 N 61-р-в "О выделении бюджетных ассигнований из резервного фонда финансирования непредвиденных расходов Администрации Томской области"</t>
  </si>
  <si>
    <t>пп б)-ж) п.9)</t>
  </si>
  <si>
    <t>Постановление Администрации Колпашевского района от 31.08.2011 № 883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</si>
  <si>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31.08.2011- 31.12.2011</t>
  </si>
  <si>
    <t>Межбюджетные трансферты МОУ "Новоселовская СОШ" на укрепление материально-технической базы (в соответствии с распоряжением Администрации ТО от 17.08.2011 № 63-р-в)</t>
  </si>
  <si>
    <t>Распоряжение Администрации Томской области от 17.08.2011 N 63-р-в "О выделении бюджетных ассигнований из резервного фонда финансирования непредвиденных расходов Администрации Томской области"</t>
  </si>
  <si>
    <t>п.10)</t>
  </si>
  <si>
    <t>Постановление Администрации Колпашевского района от 12.09.2011 № 960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</si>
  <si>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Межбюджетные трансферты на укрепление материально - технической базы общеобразовательным учреждениям (в соответствии с распоряжением Администрации ТО от 06.09.2011 № 71-р-в)</t>
  </si>
  <si>
    <t>Распоряжение Администрации Томской области от 06.09.2011 N 71-р-в "О выделении бюджетных ассигнований из резервного фонда финансирования непредвиденных расходов Администрации Томской области"</t>
  </si>
  <si>
    <t>п.8)</t>
  </si>
  <si>
    <t>12.08.2011- 31.12.2011</t>
  </si>
  <si>
    <t>17.08.2011- 31.12.2011</t>
  </si>
  <si>
    <t>06.09.2011- 31.12.2011</t>
  </si>
  <si>
    <t>Постановление Администрации Колпашевского района от 26.09.2011 № 1014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</si>
  <si>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26.09.2011- 31.12.2011</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</si>
  <si>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</si>
  <si>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</si>
  <si>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</si>
  <si>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</si>
  <si>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</si>
  <si>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Иные межбюджетные трансферты на организацию благоустройства территорий (за счет средств местного бюджета)</t>
  </si>
  <si>
    <t>Иные межбюджетные трансферты МО "Колпашевское городское поселение" на оказание содействия в реализации энергоэффективных проектов"</t>
  </si>
  <si>
    <t>Иные межбюджетные трансферты на изготовление и установку спортивных сооружений в д. Маракса, включая приобретение пиломатериала</t>
  </si>
  <si>
    <t>Иные межбюджетные трансферты на организацию благоустройства территорий (за счет средств обл. бюджета)</t>
  </si>
  <si>
    <t>Иные межбюджетные трансферты на капитальный ремонт жилых помещений, находящихся в муниципальной собственности МО "Новоселовское сельское поселение"</t>
  </si>
  <si>
    <t>Решение Думы Колпашевского района от 17.10.2011 № 129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</si>
  <si>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13.10.2011, не установлен</t>
  </si>
  <si>
    <t>Решение Думы Колпашевского района от 25.11.2011 № 137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</si>
  <si>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08.11.2011, не установлен</t>
  </si>
  <si>
    <t>Решение Думы Колпашевского района от 29.08.2011 № 92 "О порядке использования средств субсидии из областного бюджета на оснащение школьных автобусов аппаратурой спутниковой навигации ГЛОНАСС"</t>
  </si>
  <si>
    <t>16.06.2011, не установлен</t>
  </si>
  <si>
    <t>Субсидия на реализацию комплексных программ поддержки развития дошкольных образовательных учреждений (федеральный бюджет)</t>
  </si>
  <si>
    <t>п.2 п.п.20, п.26</t>
  </si>
  <si>
    <t>Решение Думы Колпашевского района от 25.11.2011 № 141 "О порядке использования средств субсидии на реализацию комплексных программ поддержки развития дошкольных образовательных учреждений муниципальных образований Томской области"</t>
  </si>
  <si>
    <t>21.11.2011- 31.12.2011</t>
  </si>
  <si>
    <t>Расходы в соответствии с распоряжением Администрации ТО от 21.09.2011 № 75-р-в на приобретение танцевальных костюмов для хореографического коллектива "Глория"</t>
  </si>
  <si>
    <t>Постановление Администрации Колпашевского района от 05.10.2011 № 1048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</si>
  <si>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05.10.2011- 31.12.2011</t>
  </si>
  <si>
    <t>Распоряжение Администрации Томской области от 21.09.2011 N 75-р-в "О выделении бюджетных ассигнований из резервного фонда финансирования непредвиденных расходов Администрации Томской области"</t>
  </si>
  <si>
    <t>п.7) п.п.б)</t>
  </si>
  <si>
    <t>21.09.2011- 31.12.2011</t>
  </si>
  <si>
    <t>Постановление Администрации Колпашевского района от 22.11.2011 № 1226 "О утверждении Положения о порядке перечисления гражданам единовременной денежной выплаты на приобретение или строительство жилого помещения на территории Томской области органами местного самоуправления муниципального образования «Колпашевский район» за счёт средств федерального бюджета в соответствии с Федеральным законом от 27 мая 1998 г. № 76-ФЗ «О статусе военнослужащих» и Федеральным   законом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t>
  </si>
  <si>
    <t>Федеральный закон от 27.05.1998 N 76-ФЗ "О статусе военнослужащих"</t>
  </si>
  <si>
    <t>ст.3 п.4</t>
  </si>
  <si>
    <t>01.01.1998, не установлен</t>
  </si>
  <si>
    <t>Закон Томской области от 08.08.2011 N 163-ОЗ "О наделении органов местного самоуправления отдельными государственными полномочиями по обеспечению жилыми помещениями отдельных категорий граждан за счет средств федерального бюджета в соответствии с Федеральным законом от 27.05.1998 N 76-ФЗ "О статусе военнослужащих" и Федеральным законом от 08.12.2010 N 342-ФЗ "О внесении изменений в Федеральный закон "О статусе военнослужащих" и об обеспечении жилыми помещениями некоторых категорий граждан"</t>
  </si>
  <si>
    <t>ст. 3</t>
  </si>
  <si>
    <t>10.09.2011, не установлен</t>
  </si>
  <si>
    <t>2.3.30.</t>
  </si>
  <si>
    <t>Постановление Администрации Колпашевского района от 12.09.2011 № 937 "О порядке предоставления субсидии Колпашевской районной организации Томского регионального отделения Всероссийской общественной организации ветеранов (пенсионеров) войны труда Вооруженных Сил и правоохранительных органов"</t>
  </si>
  <si>
    <t>Постановление Администрации Колпашевского района от 14.09.2011 № 972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</si>
  <si>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14.09.2011- 31.12.2011</t>
  </si>
  <si>
    <t>п. 1 абз. 3</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</si>
  <si>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</si>
  <si>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</si>
  <si>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</si>
  <si>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</si>
  <si>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Иные межбюджетные трансферты на награждение муниципального образования "Саровское сельское поселение", победителя районной сельскохозяйственной ярмарки "Дары осени"</t>
  </si>
  <si>
    <t>Иные межбюджетные трансферты на ремонт автомобиля УАЗ-220694-04</t>
  </si>
  <si>
    <t>Иные межбюджетные трансферты на организацию электроснабжения котельных Новоселовского сельского поселения</t>
  </si>
  <si>
    <t>Иные межбюджетные трансферты на укрепление материально-технической базы МУ "Новогоренский СКДЦ"</t>
  </si>
  <si>
    <t>Иные межбюджетные трансферты на изготовление и установку детской игровой площадки по адресу: г.Колпашево, ул.Сосновая, 9 (в соответствии с распоряжением АТО от 29.09.2011 № 77-р-в)</t>
  </si>
  <si>
    <t>Иные межбюджетные трансферты на приобретение топлива для организации теплоснабжения Дома культуры с.Новоильинка</t>
  </si>
  <si>
    <t>Иные межбюджетные трансферты на изготовление и установку детской игровой площадки в с.Тогур, ул. Пушкина, д.34 (в соответствии с распоряжением Администрации ТО от 21.10.2011 № 85-р-в)</t>
  </si>
  <si>
    <t>Иные межбюджетные трансферты Администрации Колпашевского городского поселения на укрепление материально-технической базы (в соответствии с распоряжением Администрации ТО от 21.09.2011 № 75-р-в)</t>
  </si>
  <si>
    <t>Иные межбюджетные трансферты на приобретение и установку водосборных желобов и водосточных труб на жилом доме по адресу: г.Колпашево, ул. Обская, 27 (в соответствии с распоряжением Администрации ТО от 21.10.2011 № 85-р-в)</t>
  </si>
  <si>
    <t>Иные межбюджетные трансферты на приобретение танцевальной обуви и на приобретение линолиума МУ "ЦКД" (в соответствии с рапоряжением Администрации ТО от 21.10.2011 № 85-р-в)</t>
  </si>
  <si>
    <t>Иные межбюджетные трансферты на ремонт тепловых сетей холодного водоснабжения от модульной котельной "ТГТ" до МДОУ № 9</t>
  </si>
  <si>
    <t xml:space="preserve">Иные межбюджетные трансферты для долевого участия в проведении работ на аварийном объекте - наружном водопроводе в г.Колпашево, ул.Горького (от ул.Ленина до ул.Коммунистическая), с целью предупреждения черезвычайной ситуации, связанной с обеспечением населения водой (в соответствии с распоряжением Администрации ТО от 24.10.2011 № 1051-ра) </t>
  </si>
  <si>
    <t>Иные межбюджетные трансферты на строительство водопровода (в соответствии с распоряжением Администрации ТО от 27.10.2011 № 1080-ра)</t>
  </si>
  <si>
    <t>Иные межбюджетные трансферты на укрепление материально-технической базы МУ "ЦКД"</t>
  </si>
  <si>
    <t>Иные межбюджетные трансферты на компенсацию расходов граждан на организацию водоснабжения жилья (в соответствии с распоряжением Администрации ТО от 17.10.2011 № 1019-ра)</t>
  </si>
  <si>
    <t>Иные межбюджетные трансферты на возмещение теплоснабжающим организациям затрат, обусловленных незапланированным в тарифе на тепловую энергию ростом цен на уголь в муниципальных образованиях, расположенных в местностях, приравненных к районам Крайнего Севера</t>
  </si>
  <si>
    <t>Иные межбюджетные трансферты на приобретение в муниципальную собственность газораспределительных сетей г.Колпашево и с.Тогур Колпашевского района ТО 5 очередь</t>
  </si>
  <si>
    <t>22.09.2011- 31.12.2011</t>
  </si>
  <si>
    <t>Постановление Администрации Колпашевского района от 22.09.2011 № 993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бюджету муниципального образования "Колпашевский район", для проведения аварийно- восстановительных работ на автомобильной дороге "Тогур-Север-Дальнее-Куржино-Копыловка" (в редакции от 05.10.2011 № 1049)</t>
  </si>
  <si>
    <t>Решение Думы Колпашевского района от 16.12.2011 № 184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</si>
  <si>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16.12.2011- 31.12.2011</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</si>
  <si>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t>
  </si>
  <si>
    <t>Решение Думы Колпашевского района от 20.06.2011 № 63 "О порядке использования средств субсидии из областного бюджета на реализацию программы "Профилактика детского дорожно-транспортного травматизма на территории Томской области в 2010-2011 годах" (в редакции от 16.12.2011 № 175)</t>
  </si>
  <si>
    <t>Иные межбюджетные трансферты на компенсацию убытков организаций, эксплуатирующих коммунальные объекты, принятые в муниципальную собственность в связи с расформированием войсковой части в г. Колпашево, а также на компенсацию расходов по организации теплоснабжения муниципальными энергоснабжающими организациями</t>
  </si>
  <si>
    <t>Иные межбюджетные трансферты на организацию уличного освещения</t>
  </si>
  <si>
    <t>Иные межбюджетные трансферты на ремонт автомобиля</t>
  </si>
  <si>
    <t>Иные межбюджетные трансферты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черезвычайной ситуации</t>
  </si>
  <si>
    <t>Субсидия бюджетам поселений на реализацию программы энергосбережения и повышения энергетической эффективности на период до 2020 года</t>
  </si>
  <si>
    <t>Иные межбюджетные трансферты для проведения аварийно-восстановительных работ на котельной "Лазо" по адресу: г.Колпашево, ул.Крылова, 9/2 (в соответствии с распоряжением АТО от 16.11.2011 № 1164-ра)</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</si>
  <si>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</si>
  <si>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t>
  </si>
  <si>
    <t>п.3</t>
  </si>
  <si>
    <t>23.05.2011, не установлен</t>
  </si>
  <si>
    <t>Решение Думы Колпашевского района от 18.03.2011 № 25 "Об установлении льготы на пассажирские перевозки речным транспортом на период навигации 2011 года" (в редакции от 06.07.2011 № 80)</t>
  </si>
  <si>
    <t>Постановление Администрации Колпашевского района от 20.04.2011 № 362 "Об утверждении порядка и условий предоставления льготных услуг по перевозкам речным транспортом населения по маршрутам "Тогур-Копыловка", "Тогур-Лебяжье" (в редакции от 27.06.2011 № 628)</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</si>
  <si>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</si>
  <si>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26.12.2008- 25.11.2011</t>
  </si>
  <si>
    <t>Решение Думы Колпашевского района от 10.12.2005 № 27 "Об утверждении Положения об организации оказания и финансового обеспечения на территории Колпашевского района первичной медико - санитарной помощи, в том числе женщинам в период беременности, во время и после родов, в том числе на фельдшерско-акушерских пунктах и скорой медицинской помощи (за исключением санитарно-авиационной) (в редакции от 22.12.2006 № 264, от 29.08.2011 № 100)</t>
  </si>
  <si>
    <t>Решение Думы Колпашевского района от 28.02.2008 № 441 "О порядке финансирования муниципального учреждения здравоохранения  "Колпашевская ЦРБ" (в редакции от 29.08.2011 № 100)</t>
  </si>
  <si>
    <t>Постановление Администрации Колпашевского района от 26.12.2011 № 1380 "О порядке расходования средств субсидии из областного бюджета Томской области на установку приборов учета потребления теплоэнергитических ресурсов в муниципальных учреждениях томской области"</t>
  </si>
  <si>
    <t>01.09.2010- 31.12.2020</t>
  </si>
  <si>
    <t>Решение Думы Колпашевского района от 18.03.2011 № 29 "О порядке использования в 2011 году средств бюджета мниципального образования "Колпашевский район" на проведение мероприятий в рамках реализации комплексной программы социально-экономического развития муниципального образования "Колпашевский район" на 2008-2012 годы в разделе "Сельское хозяйство" (в редакции от 23.05.2011 № 50)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</si>
  <si>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</si>
  <si>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Субсидии местным бюджетам на софинансирование объектов капитального строительства собственности муниципальных образований в рамках ДЦП "Развитие автомобильных дорог общего пользования регионального или межмуниципального значения Томской области на 2011 - 2015 годы"</t>
  </si>
  <si>
    <t>отчетный финансовый год   (2011 год)</t>
  </si>
  <si>
    <t>текущий финансовый год (2012)</t>
  </si>
  <si>
    <t>финансовый год +2
(2013 год)</t>
  </si>
  <si>
    <t>финансовый год +3
(2014 год)</t>
  </si>
  <si>
    <t>Иные межбюджетные трансферты на укрепление материально-технической базы МУ "Библиотека"</t>
  </si>
  <si>
    <t>0905</t>
  </si>
  <si>
    <t>0909</t>
  </si>
  <si>
    <t>0314</t>
  </si>
  <si>
    <t>ПРОЕКТ</t>
  </si>
  <si>
    <t>Расходы на оказание медицинской помощи в отделении сестринского ухода детям, в возрасте до 4-х лет, оказавшихся без попечения родителей или иных законных представителей</t>
  </si>
  <si>
    <t>Расходы на выплату денежной компенсации донорам за сданную кровь</t>
  </si>
  <si>
    <t>Расходы на приобретение детских молочных смесей для детей раннего возраста</t>
  </si>
  <si>
    <t>Расходы на проведение конкурса "Развитие общественных инициатив"</t>
  </si>
  <si>
    <t>Распоряжение Администрации Колпашевского района от 13.12.2011 № 1144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2012 г."</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</si>
  <si>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t>
  </si>
  <si>
    <t>01.01.2012- 31.12.2012</t>
  </si>
  <si>
    <t>Расходы на переподготовку кадров и повышение квалификации</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</si>
  <si>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t>
  </si>
  <si>
    <t>Решение Думы Колпашевского района от 23.01.2012 № 1 "О финансировании расходов на выплату вознаграждения донорам за зданную кровь"</t>
  </si>
  <si>
    <t>п.1,2,4,5</t>
  </si>
  <si>
    <t>01.01.2012, не установлен</t>
  </si>
  <si>
    <t>п.1,2</t>
  </si>
  <si>
    <t>Расходы на реализацию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</si>
  <si>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Распоряжение Администрации Томской области от 30.12.2011 N 1402-ра "Об утверждении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</si>
  <si>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30.12.2011- 31.12.2012</t>
  </si>
  <si>
    <t>Решение Думы Колпашевского района от 13.02.2012 № 23 "О порядке использования средств субсидии из областного бюджета на реализацию Региональной программы по проведению противоаварийных мероприятий в зланиях государственных и муниципальных общеобразовательных учреждений Томской области в 2012 году"</t>
  </si>
  <si>
    <t>п.1,3</t>
  </si>
  <si>
    <t>13.02.2012- 31.12.2012</t>
  </si>
  <si>
    <t>Решение Думы Колпашевского района от 14.02.2011 № 3 "О порядке использования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13.02.2012 № 22)</t>
  </si>
  <si>
    <t>01.01.2011- 31.12.2012</t>
  </si>
  <si>
    <t>Решение Думы Колпашевского района от 18.03.2011 № 24 "О порядке использования иных межбюджетных трансфертов на стимулирующие выплаты в муниципальных дошкольных образовательных учреждениях Томской области" (в редакции от 13.02.2012 № 20)</t>
  </si>
  <si>
    <t>п. 1,4</t>
  </si>
  <si>
    <t>01.02.2011- 31.12.2012</t>
  </si>
  <si>
    <t>Решение Думы Колпашевского района от 13.02.2012 № 18 "О финансировании расходов на организацию питания детей раннего возраста"</t>
  </si>
  <si>
    <t>Постановление Администрации Колпашевского района от 31.01.2012 № 78 "Об утверждении Порядка определения объёма и условий предоставления субсидии за счёт средств бюджета муниципального образования «Колпашевский район»   муниципальному бюджетному учреждению здравоохранения "Колпашевская ЦРБ" на ремонт муниципальных объектов здравоохранения"</t>
  </si>
  <si>
    <t>Решение Думы Колпашевского района от 13.02.2012 № 17 "О финансировании расходов отделения сестринского ухода и признании утратившими силу отдельных решений Думы Колпашевского района"</t>
  </si>
  <si>
    <t>Решение Думы Колпашевского района от 29.08.2011 № 100 "Об организации отделения сестринского ухода" (в редакции от 13.02.2012 № 17)</t>
  </si>
  <si>
    <t>Расходы на создание условий для оказания медицинской помощи населению на территории муниципального образования "Колпашевский район"</t>
  </si>
  <si>
    <t>Решение Думы Колпашевского района от 13.02.2012 № 19 "О финансировании расходов на создание условий для оказания медицинской помощи населению на территории муниципального образования "Колпашевский район" в соответствии с территориальной программой государственных гарантий оказания гражданам Российской Федерации бесплатной медицинской помощи"</t>
  </si>
  <si>
    <t>1102, 1101</t>
  </si>
  <si>
    <t>1102</t>
  </si>
  <si>
    <t>Решение Думы Колпашевского района от 23.01.2012 № 14 "О финансировании расходов на обеспечение условий для развития физической культуры и массового спорта на территории Колпашевского района" (в редакции от 13.02.2012 № 35)</t>
  </si>
  <si>
    <t xml:space="preserve">Постановление администрации Колпашевского района от 01.02.2012 № 88 "Об установлении расходных обязательств по осуществлению отдельных государственных полномочий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  </t>
  </si>
  <si>
    <t>01.01.2012, до окончания действия ЗТО от 09.11.2011 № 299-ОЗ</t>
  </si>
  <si>
    <t>22.11.2011, не установлен</t>
  </si>
  <si>
    <t>Расходы на проведение социалогических иследований в соответствии с распоряжением АТО от 12.01.2012 № 4-ра</t>
  </si>
  <si>
    <t>Распоряжение Админстрации Томской области от 12.01.2012 № 4-ра "О выделении бюджетных ассигнований бюджетам муниципальных образований Томской области"</t>
  </si>
  <si>
    <t>Иные межбюджетные трансферты на оплату проектирования газовой модульной котельной "Школа 4"</t>
  </si>
  <si>
    <t>Иные межбюджетные трансферты на софинансировнание мероприятий по капитальному ремонту многоквартирных домов</t>
  </si>
  <si>
    <t>Иные межбюджетные трансферты на приобретение сетей теплоснабжения для газовых котельных</t>
  </si>
  <si>
    <t>Иные межбюджетные трансферты на приобретение мотокос и приобретение и установку установочных павильонов</t>
  </si>
  <si>
    <t>Иные межбюджетные трансферты на проведение работ по аварийно-спасательным и аварийно-восстановительным работам по газовой котельной "Лазо" (г.Колпашево, ул. Крылова, 9/2)</t>
  </si>
  <si>
    <t>Иные межбюджетные трансферты  на изготовление проекта планировки и топографической съемки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t>
  </si>
  <si>
    <t>Иные межбюджетные трансферты  на организацию деятельности народного академического хора при МБУ "ЦКД"</t>
  </si>
  <si>
    <t>Иные межбюджетные трансферты  на укрепление материально-технической базы сельских домов культуры</t>
  </si>
  <si>
    <t>Иные межбюджетные трансферты  на приобретение травокосилки в рамках благоустройства Иванкинского поселения</t>
  </si>
  <si>
    <t>Иные межбюджетные трансферты  на приобретение травокосилок в рамках благоустройства Новогоренского поселения поселения</t>
  </si>
  <si>
    <t>12.01.2012- 20.03.2012</t>
  </si>
  <si>
    <t>Постановление Администрации Колпашевского района от 19.01.2012 № 28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социалогических исследований"</t>
  </si>
  <si>
    <t>19.01.2012- 20.03.2012</t>
  </si>
  <si>
    <t>01.05.2008, не установлен</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</si>
  <si>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</si>
  <si>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</si>
  <si>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</si>
  <si>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</si>
  <si>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</si>
  <si>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</si>
  <si>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</si>
  <si>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</si>
  <si>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</si>
  <si>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</si>
  <si>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</si>
  <si>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 xml:space="preserve">Постановление Администрации Колпашевского района от 30.06.2010 №863 "Об установлении расходных обязательств по осуществлению отдельных государственных полномочий" </t>
  </si>
  <si>
    <t>Бюджетный кодекс Российской Федерации от 31.07.1998 № 145-ФЗ</t>
  </si>
  <si>
    <t>3 аб. п.1, п.3 ст. 86</t>
  </si>
  <si>
    <t>01.01.2000, не установлен</t>
  </si>
  <si>
    <t>Закон Томской области от 09.11.2011 N 299-ОЗ "О наделении органов местного самоуправления отдельными государственными полномочиями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t>
  </si>
  <si>
    <t>01.01.2012, вводится в действие ежегодно</t>
  </si>
  <si>
    <t>Постановление Администрации Колпашевского района от 30.06.2010 № 864 "Об установлении расходного обязательства МО "Колпашевский район" по осуществлению отдельных государственных полномочий по осуществлению денежных выплат медицинскому персоналу ФАП,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</si>
  <si>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01.07.2010, до окончания срока действия ЗТО от 27.03.2009 № 38-ОЗ</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</si>
  <si>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</si>
  <si>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</si>
  <si>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</si>
  <si>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t>
  </si>
  <si>
    <t xml:space="preserve"> Постановление Администрации Колпашевского района от 27.08.2010 № 1088 "Об установлении расходного обязательства МО "Колпашевский район" по осуществлению отдельных государственных полномочий по подготовке и проведению Всероссийской переписи населения"</t>
  </si>
  <si>
    <t>Устав Колпашевского района</t>
  </si>
  <si>
    <t xml:space="preserve">01.01.2012, не установлен </t>
  </si>
  <si>
    <t>Постановление Администрации Колпашевского района от 18.12.2010 № 1540 "О Порядке определения объема и предоставления субсидий некоммерческим организациям, не являющимися бюджетными учреждениями, в 2011 году" (в редакции от 30.12.2010 № 1603)</t>
  </si>
  <si>
    <t>Постановление Администрации Колпашевского района от 27.06.2011 № 631 "Об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для ремонта и (или) переустройства жилых помещений граждан, не состоящих на учёте в качестве нуждающихся в улучшении жилищных условий и не реализовавших свое право на улучшение жилищных условий за счёт средств федерального и областного бюджетов в 2009-2011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</si>
  <si>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Постановление Администрации Колпашевского района от 29.07.2011 № 753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г.Колпашево"</t>
  </si>
  <si>
    <t>29.07.2011- 31.12.2011</t>
  </si>
  <si>
    <t>27.06.2011- 31.12.2011</t>
  </si>
  <si>
    <t>Постановление Администрации Колпашевского района от 31.08.2011 № 884 "Об установлении расходного обязательства муниципального образования «Колпашевский район»  по осуществлению отдельных государственных полномочий"</t>
  </si>
  <si>
    <t>31.08.2011 до окончания срока действия ЗТО от 08.08.2011 № 163-ОЗ</t>
  </si>
  <si>
    <t>31.05.2006, не установлен</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</si>
  <si>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t>
  </si>
  <si>
    <t xml:space="preserve">Закон Томской области от 28.12.2010 N 336-ОЗ "О предоставлении межбюджетных трансфертов" </t>
  </si>
  <si>
    <t>абз 7 п.1 ст.1</t>
  </si>
  <si>
    <t>Решение Думы Колпашевского района от 26.12.2008 № 586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и резервного фонда Администрации Томской области по ликвидации последствий стихийных бедствий и других чрезвычайных ситуаций"</t>
  </si>
  <si>
    <t>26.12.2008- 31.12.2011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</si>
  <si>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</si>
  <si>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</si>
  <si>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Решение Думы Колпашевского района от 23.04.2012 № 43 "О Cчетной палате Колпашевского района"</t>
  </si>
  <si>
    <t>п.1,2,5</t>
  </si>
  <si>
    <t>23.04.2012, не установлен</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</si>
  <si>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автобусному маршруту № 513 "Колпашево-Копыловка"</t>
  </si>
  <si>
    <t>Решение Думы Колпашевского района от 23.04.2012 № 69 "Об установлении льготы на пассажирские перевозки по автобусному маршруту № 513 «Колпашево – Копыловка»</t>
  </si>
  <si>
    <t>01.03.2012-31.12.2012</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</si>
  <si>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 (в редакции от 29.11.2006 №237, от 27.04.2007 № 320, от 15.05.2008 № 477, от 08.09.2008 № 539)</t>
  </si>
  <si>
    <t>Решение Думы Колпашевского района от 23.04.2012 № 75 "О приостановлении действия отдельных положений решения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«Колпашевский район» (в редакции от 29.11.2006 № 237, от 27.04.2007 № 320, от 15.05.2008 № 477, от 08.09.2008 № 539)</t>
  </si>
  <si>
    <t>23.04.2012- 31.12.2012</t>
  </si>
  <si>
    <t>Решение Думы Колпашевского района от 16.04.2010 № 822 "Об использовании средств субсидии на организацию отдыха детей Колпашевского района в каникулярное время"; постановление Администрации Колпашевского района Томской области от 09.02.2012 № 105 "О порядке преобретения и предоставления путёвок в загородные стационарные оздоровительные учреждения, расположенные на территории РФ, на целевые смены и в специализированные (профильные) лагеря, расположенные на территории РФ"</t>
  </si>
  <si>
    <t>01.05.2010, не установлен      09.02.2012, не установлен</t>
  </si>
  <si>
    <t>Расходы на приобретение ОС для содержания в чистоте прилигающих территорий</t>
  </si>
  <si>
    <t>Постановление Администрации Колпашевского района от 01.03.2012 № 182 "Об утверждении Порядка определения объема и условий предоставления субсидий из бюджета МО "Колпашевский район" муниципальным бюджетным образовательным учреждениям и муниципальным автономным образовательным учреждениям на приобретение образовательными учреждениями основных средств для содержания в чистоте прилигающих к ним территорий"</t>
  </si>
  <si>
    <t>13.02.2012, не установлен</t>
  </si>
  <si>
    <t>16.12.2011, не установлен</t>
  </si>
  <si>
    <t>Расходы на выплату стипендии Губернатора Томской области молодым учителям муниципальных образовательных учреждений Томской области в соответствии с постановлением АТО от 06.03.2012 № 84а</t>
  </si>
  <si>
    <t>Решение Думы Колпашевского района от 23.04.2012 № 49 "О порядке использования иных межбюджетных трансфертов на выплату стипендии Губернатора Томской области молодым учителям муниципальных образовательных учреждений Томской области, перечисленных в бюджет МО "Колпашевский район" в соответствии с постановлением АТО от 06.03.2012 № 84а"</t>
  </si>
  <si>
    <t>п.1,4</t>
  </si>
  <si>
    <t>Постановление Администрации Колпашевского района от 04.04.2012 № 314 "Об утверждении Порядка определения объема и условия предоставления субсидии за счет средств бюджета муниципального образования "Колпашевский район" муниципальному бюджетному учреждению здравоохранения "Колпашевская центральная районная больница" на обеспечение организации и проведение подготовки и переподготовки медицинских кадров"</t>
  </si>
  <si>
    <t>04.04.2012- 31.12.2012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</si>
  <si>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t>
  </si>
  <si>
    <t>Решение Думы Колпашевского района от 23.04.2012 № 58 "О порядке ипользования в 2012 году средств бюджета МО "Колпашевский район" на проведение мероприятий в рамках реализациикомплексной программы СЭР МО "Колпашеский район"</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</si>
  <si>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 Колпашевский район" на 2008-2012 годы (в редакции от 28.08.2008 № 532, от 08.09.2008 № 543, от 26.12.2008 № 587, от 28.10.2009 № 724, от 25.12.2009 № 761, от 28.01.2010 № 792, от 29.09.2010 № 925, от 18.03.11 № 30, от 25.04.2011 № 43, от 29.08.2011 № 95, от 17.10.2011 № 130, от 16.12.2011 № 165, от 23.04.2012 № 59)</t>
  </si>
  <si>
    <t>1101</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</si>
  <si>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t>
  </si>
  <si>
    <t>Решение Думы Колпашевского района от 23.04.2012 № 57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</si>
  <si>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</si>
  <si>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</si>
  <si>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t>
  </si>
  <si>
    <t>Решение Думы Колпашевского района от 25.11.2011 № 133 "О бюджете муниципального образования "Колпашевский район" на 2012 год"</t>
  </si>
  <si>
    <t>Субсидия на организацию благоустройства территорий</t>
  </si>
  <si>
    <t>Иные межбюджетные трансферты на поощрение поселенческих команд, учавствовавших в 5-й зимней межпоселенческой спартакиаде</t>
  </si>
  <si>
    <t>Иные межбюджетные трансферты на софинансирование расходов на строительство газовых котельных взамен нефтяных</t>
  </si>
  <si>
    <t>Иные межбюджетные трансферты на приобретение топлива для котельных МУП "Пламя" с целью ликвидации черезвычайной ситуации (в соответствии с распоряжением АТО от 01.02.2012 № 61-ра)</t>
  </si>
  <si>
    <t>гр.19</t>
  </si>
  <si>
    <t>финансовый год +3
(2015 год)</t>
  </si>
  <si>
    <t xml:space="preserve">Субсидия на реализацию комплекса мер по модернизации общего образования Томской области </t>
  </si>
  <si>
    <t>2.1.81.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</si>
  <si>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</si>
  <si>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МБТ на исполнение судебных решений по обеспечению жилыми помещениями детей-сирот и детей, оставшихся без попечения родителей, а также детей из их числа, не имеющих закрепленного жилого помещения</t>
  </si>
  <si>
    <t>ИМБТ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</si>
  <si>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на 2012 год (за счет средств федерального бюджета)</t>
  </si>
  <si>
    <t>Постановление Администрации Колпашевского района от 26.12.2011 № 1373 "Об утверждении Порядка определения объёма и условий предоставления субсидий из местного бюджета муниципальным бюджетным образовательным учреждениям и муниципальным автономным образовательным учреждениям на предоставление компенсации расходов на питание обучающимся муниципальных бюджетных образовательных учреждений и муниципальных автономных образовательных учреждений из малоимущих семей"</t>
  </si>
  <si>
    <t>Расходы согласно распоряжению АТО от 18.05.2012 № 52-р-в</t>
  </si>
  <si>
    <t>08.06.2012, не установлен</t>
  </si>
  <si>
    <t>Постановление Администрации Колпашевского района от 28.05.2012 № 505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обустройство территорий, прилегающих к общеобразовательным учреждениям"</t>
  </si>
  <si>
    <t>28.05.2012, не устанвлен</t>
  </si>
  <si>
    <t>Постановление Администрации Колпашевского района от 18.05.2012 № 471"Об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реализацию региональной программы "Школьное питание в общеобразовательных учреждениях Томской области на 2012-2013 годы"</t>
  </si>
  <si>
    <t>01.05.2012, не установлен</t>
  </si>
  <si>
    <t>Расходы на реализацию региональной программы "Школьное питание в общеобразовательных учреждениях Томской области на 2012-2013 годы"</t>
  </si>
  <si>
    <t>Стипендии Губернатора Томской области лучшим учителям областных государственных и муниципальных образовательных учреждений ТО</t>
  </si>
  <si>
    <t>Расходы на укрепление материально-технической базы МБОУ ДОД "ДШИ" в соответствии с распоряжением АТО от 05.06.2012 № 58-р-в</t>
  </si>
  <si>
    <t>Постановление Администрации Колпашевского района от 04.07.2012 № 643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t>
  </si>
  <si>
    <t>04.07.2012- 31.12.2012</t>
  </si>
  <si>
    <t>Расходы в соответствии с распоряжением АТО от 18.05.2012 № 52-р-в</t>
  </si>
  <si>
    <t>Мероприятия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</si>
  <si>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t>
  </si>
  <si>
    <t>Постановление Администрации Колпашевского района от 01.02.2010 № 149 "Об утверждении долгосрочной целевой программы "Профилактика правонарушений на территории МО "Колпашевский район" на 2010-2012 годы" ( в редакции от 07.04.2010 № 537, от 07.12.2010 № 1498, от 21.12.2010 № 1557, от 26.04.2011№ 384, от 07.12.2011 № 1298, от 29.06.2012 № 637)</t>
  </si>
  <si>
    <t>Субвенция на предоставление субсидии гражданам, ведущим личное подсобное хозяйство, на возмещение затрат по приобретению сельскохозяйственной техники и оборудования</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</si>
  <si>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t>
  </si>
  <si>
    <t>ИМБТ на приобретение в муниципальную собственность газораспределительных сетей г.Колпашево и с. Тогур Колпашевского района ТО, 5 очередь, 2 этап</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</si>
  <si>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</si>
  <si>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</si>
  <si>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Распоряжение Администрации Томской области от 18.05.2012 N 52-р-в "Об использовании бюджетных ассигнований резервного фонда финансирования непредвиденных расходов Администрации Томской области"</t>
  </si>
  <si>
    <t>пп.в), п. 4)</t>
  </si>
  <si>
    <t>18.05.2012- 31.12.2012</t>
  </si>
  <si>
    <t>пп.в), пп.б), п. 4)</t>
  </si>
  <si>
    <t>Распоряжение Администрации Томской области от 05.06.2012 N 58-р-в "Об использовании бюджетных ассигнований резервного фонда финансирования непредвиденных расходов Администрации Томской области"</t>
  </si>
  <si>
    <t>п. 7)</t>
  </si>
  <si>
    <t>Постановление Администрации Томской области от 30.12.2011 N 446а "Об утверждении региональной программы "Школьное питание в общеобразовательных учреждениях Томской области на 2012-2013 годы"</t>
  </si>
  <si>
    <t>01.01.2012- 31.12.2013</t>
  </si>
  <si>
    <t>Постановление Правительства РФ от 27.12.2010 N 1118 "О порядке предоставления субсидий из федерального бюджета бюджетам субъектов Российской Федерации на реализацию экспериментальных проектов по совершенствованию организации питания обучающихся в государственных общеобразовательных учреждениях субъектов Российской Федерации и муниципальных общеобразовательных учреждениях"</t>
  </si>
  <si>
    <t>_____________________________</t>
  </si>
  <si>
    <t>Начальник УФЭП    Р.В. Морозова</t>
  </si>
  <si>
    <t>(подпись)</t>
  </si>
  <si>
    <t>(наименование должности руководителя)</t>
  </si>
  <si>
    <t>М. П.</t>
  </si>
  <si>
    <t>01.09.2010- 31.12.2022</t>
  </si>
  <si>
    <t>2.1.82.</t>
  </si>
  <si>
    <t>утверждение и реализация муниципальных программ в области энергосбережения и повышения энергитической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</si>
  <si>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Постановление Администрации Колпашевского района от 18.05.2012 № 286 "Об утверждении Порядка использования бюджетных ассигнований резервного фонда Администрации Колпашевского района"</t>
  </si>
  <si>
    <t>Субсидия на предупреждение черезвычайной ситуации, связанной с переселением жителей домов с обрушающегося берега р.Обь, в соответствии с распоряжением Администрации Томской области от 21.06.2012 № 572-ра</t>
  </si>
  <si>
    <t>Распоряжение Администрации Томской области от 21.06.2012 № 572-ра "О выделении бюджетных ассигнований бюджету муниципального образования "Колпашевский район"</t>
  </si>
  <si>
    <t>21.06.2012- 25.12.2012</t>
  </si>
  <si>
    <t>Постановление Админи страции Колпашевского района от 26.07.2012 № 713 "Об использовании бюджетных ассигнований выделенных бюджету муниципального образования «Колпашевский район» из целевого финансового резерва Томской области для переселения жителей домов с обрушающегося берега р. Обь"</t>
  </si>
  <si>
    <t>26.07.2012- 25.12.2012</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</si>
  <si>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</si>
  <si>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Расходы на укрепление материально-технической базы МБОУ ДОД "ДШИ с.Тогур" в соответствии с распоряжением АТО от 10.07.2012 № 71-р-в</t>
  </si>
  <si>
    <t>Расходы в соответствии с Распоряжением АТО от 10.07.2012 № 71-р-в (на укрепление МТБ Чажемтовского филиала МБУЗ "Колпашевская ЦРБ")</t>
  </si>
  <si>
    <t>Субсидия на софинансирование расходов на создание, развитие и обеспечение деятельности муниципальных бизнес-инкубаторов</t>
  </si>
  <si>
    <t>ИМБТ для награждения, приобретения спортивного оборудования, инвентаря и спортивной экипировки командам-победителям и призерам в командном зачете XXVI областных летних сельских спортивных игр "Стадион для всех"</t>
  </si>
  <si>
    <t>Иные межбюджетные трансферты на проведение выборов</t>
  </si>
  <si>
    <t>Иные межбюджетные трансферты на приобретение световых приборов для МБУ "ЦКД"</t>
  </si>
  <si>
    <t>Иные межбюджетные трансферты на приобретение запасных частей для ремонта автомобиля, используемого для оказания скорой помощи населению</t>
  </si>
  <si>
    <t>Иные межбюджетные трансферты на приобретение и установку электрического котла в котельной с.Белояровка</t>
  </si>
  <si>
    <t>Иные межбюджетные трансферты на расходы, связанные с работами по замене участка тепловых сетей</t>
  </si>
  <si>
    <t>Иные межбюджетные трансферты на проведение мероприятий к 110-летию с.Копыловка</t>
  </si>
  <si>
    <t>Иные межбюджетные трансферты на организацию уличного освещения в с. Новогорное</t>
  </si>
  <si>
    <t>Иные межбюджетные трансферты на организацию и проведение летней межпоселенческой спартакиады в с.Чажемто</t>
  </si>
  <si>
    <t>Иные межбюджетные трансферты на ремонт и оборудование пожарных водоисточников и устройство противопожарных защитных полос (в соответствии с распоряжением АТО от 06.04.2012 № 313-ра)</t>
  </si>
  <si>
    <t>Иные межбюджетные трансферты на реализацию мероприятий подпрограммы "Повышение энергетической эффективности котельных Томской области на 2010-2012 годы и на перспективу до 2020 года (за счет средств субсидии)</t>
  </si>
  <si>
    <t>Субсидия на капитальный ремонт и ремонт автомобильных дорог общего пользования населенных пунктов</t>
  </si>
  <si>
    <t>Межбюджетные трансферты из резервного фонда финансирования непредвиденных расходов АТО в соответствии с Распоряжением АТО от 10.07.2012 № 71-р-в</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</si>
  <si>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 от 16.07.2012 № 104)</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</si>
  <si>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 от 23.04.2012 № 48, от 24.05.2012 № 85, от 16.07.2012 № 95)</t>
  </si>
  <si>
    <t>Решение Думы Колпашевского района от 25.04.2011 № 37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редакции от 16.07.2012 № 93)</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</si>
  <si>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 (в редакции от 20.07.2012 № 694)</t>
  </si>
  <si>
    <t>10.07.2012- 31.12.2012</t>
  </si>
  <si>
    <t>30.07.2012- 31.12.2012</t>
  </si>
  <si>
    <t>Решение Думы Колпашевского района от 07.03.2012 № 42 "О порядке использования средств субсидии из областного бюджета на дорожную деятельность в отношении автомобильных дорог местного значения, а ткже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 (в редакции от 16.07.2012 № 108)</t>
  </si>
  <si>
    <t>Решение Думы Колпашевского района от 24.05.2012 № 86 "Об установлении льготы на пассажирские перевозки речным транспортом по маршрутам № 1 "Тогур-Копыловка", № 2 "Тогур-Лебяжье"</t>
  </si>
  <si>
    <t>01.04.2012- 31.12.2012</t>
  </si>
  <si>
    <t>Постановление Администрации Колпашевского района от 28.05.2012 № 506 "Об утверждении порядка и условий предоставления субсидии на возмещение недополученных доходов, связанных с предоставлением льготных услуг по перевозке населения речным транспортом по маршрутам № 1 "Тогур-Копыловка", № 2 "Тогур-Лебяжье"</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</si>
  <si>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</si>
  <si>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23.07.2008 № 509, от 02.07.2009 № 676, от 26.02.2010 № 800, от 13.07.2010 № 876, от 24.12.2010 № 33, от 25.04.2011 № 38, от 29.08.2011 № 89, от 23.04.2012 № 50, от 16.07.2012 № 97)</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</si>
  <si>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</si>
  <si>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</si>
  <si>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</si>
  <si>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п.5) п.п.ж)</t>
  </si>
  <si>
    <t>Постановление Администрации Колпашевского района от 30.07.2012 № 735 "О порядке расходования средств бюджетных ассигнований резервного фонда финансирования непредвиденных расходов Администрации Томской области"</t>
  </si>
  <si>
    <t>Распоряжение Администрации Томской области от 10.07.2012 N 71-р-в "Об использовании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</si>
  <si>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26.07.2012 № 716 "О порядке расходования средств бюджетных ассигнований резервного фонда финансирования непредвиденных расходов Администрации Томской области"</t>
  </si>
  <si>
    <t>01.06.2012- 31.12.2012</t>
  </si>
  <si>
    <t>Постановление Администрации Колпашевского района от 08.06.2012 № 552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из бюджета муниципального образования Колпашевский район" за счёт средств резервного фонда финансирования непредвиденных расходов Администрации Томской области и резервного фонда Администрации Томской области по ликвидации последствий стихийных бедствий и других черезвычайных ситуаций, целевого финансового резерва Томской области для предупреждения черезвычайных ситуаций" (в редакции от 24.07.2012 № 707)</t>
  </si>
  <si>
    <t>Постановление Администрации Колпашевского района от 26.07.2012 № 715 "О порядке расходования средств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</si>
  <si>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14.10.2010 № 1288 "Об утверждении долгосрочной целевой программы "Медицинские кадры" на 2011 - 2013 годы" (в редакции от 22.06.2011 № 621, от 30.12.2011№ 1431, от 04.04.2012 № 313, от 12.07.2012 № 767)</t>
  </si>
  <si>
    <t>п.5) п.п.д)</t>
  </si>
  <si>
    <t>Постановление Администрации Колпашевского района от 20.08.2012 № 813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Чажемтовского филиала"</t>
  </si>
  <si>
    <t>20.08.2012- 31.12.2012</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</si>
  <si>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"Колпашевский район" на 2008-2012 годы" (в редакции от 26.10.2008 № 532, от 08.09.2008 № 543, от  26.12.2008 № 587, от 28.10.2009 № 724, от 25.12.2009 № 761, от 28.01.2010 № 792, от 29.09.2010 № 925, от 18.03.2011 № 30, 25.04.2011 № 43, от 29.08.2011 № 95, от 17.10.2011 № 130, от 16.12.2011 № 165, от 23.03.2012 № 59, от 16.07.2012 № 109)</t>
  </si>
  <si>
    <t>Постановлени е Администрации Колпашевского района от 28.06.2012 № 623 "О порядке определения объёма и условия предоставления субсидии на установку приборов учёта потребления теплоэнергетических ресурсов в муниципальном бюджетном учреждении здравоохранения «Колпашевская центральная районная больница»</t>
  </si>
  <si>
    <t>28.06.2012- 01.07.2012</t>
  </si>
  <si>
    <t>Постановление Администрации Колпашевского района от 26.06.2012 № 614 "О порядке использования средств субсидии из областного бюджета Томской области на установку приборов учёта потребления теплоэнергетических ресурсов в муниципальных учреждениях Томской области</t>
  </si>
  <si>
    <t>26.06.2012- 01.07.2012</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</si>
  <si>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от 16.07.2012 № 92)</t>
  </si>
  <si>
    <t>Решение Думы Колпашевского района от 23.04.2012 № 52 "О порядке использования средств субсидии на модернизацию региональных систем общего образования в 2012 году"</t>
  </si>
  <si>
    <t>Постановление Администрации Томской области от 04.04.2012 N 122а "О финансовом обеспечении реализации комплекса мер по модернизации систем общего образования Томской области в 2012 году"</t>
  </si>
  <si>
    <t>МБТ из целевого финансового резерва ТО для предупреждения черезвычайных ситуаций в соответствии с распоряжением АТО от 27.07.2012 № 682-ра</t>
  </si>
  <si>
    <t>Распоряжение Администрации Томской области от 27.07.2012 № 682-ра "О выделении бюджетных ассигнований бюджету муниципального образования "Колпашевский район"</t>
  </si>
  <si>
    <t>п.п.1) п.1</t>
  </si>
  <si>
    <t>27.07.2012- 31.12.2012</t>
  </si>
  <si>
    <t>Постановление Администрации Колпашевского района от 20.08.2012 № 814 "О порядке расходования средств бюджетных ассигнований из целевого финансового резерва Томской области для предупреждения черезвычайных ситуаций"</t>
  </si>
  <si>
    <t>20.08.2012- 20.12.2012</t>
  </si>
  <si>
    <t>Расходы на укрепление материально-технической базы МБОУ "Новосёловская СОШ" в соответствии с распоряжением АТО от 14.08.2012 № 84-р-в</t>
  </si>
  <si>
    <t>Распоряжение Администрации Томской области от 14.08.2012 N 84-р-в "Об использовании бюджетных ассигнований резервного фонда финансирования непредвиденных расходов Администрации Томской области"</t>
  </si>
  <si>
    <t>п.п.8) п.1</t>
  </si>
  <si>
    <t>14.08.2012- 31.12.2012</t>
  </si>
  <si>
    <t>Постановление Администрации Колпашевского района от 31.08.2012 № 860 "О порядке расходования средств бюджетных ассигнований резервного фонда финансирования непредвиденных расходов Администрации Томской области"</t>
  </si>
  <si>
    <t>31.08.2012-30.12.2012</t>
  </si>
  <si>
    <t>Расходы в соответствии с распоряжением АТО от 22.08.2012 № 91-р-в (на приобретение металлического ограждения для СОШ № 7)</t>
  </si>
  <si>
    <t>Распоряжение Администрации Томской области от 22.08.2012 N 91-р-в "Об использовании бюджетных ассигнований резервного фонда финансирования непредвиденных расходов Администрации Томской области"</t>
  </si>
  <si>
    <t>п.10) п.п.б)</t>
  </si>
  <si>
    <t>22.08.2012- 31.12.2012</t>
  </si>
  <si>
    <t>Постановление Администрации Колпашевского района от 07.09.2012 № 894 "О порядке расходования средств бюджетных ассигнований резервного фонда финансирования непредвиденных расходов Администрации Томской области"</t>
  </si>
  <si>
    <t>07.09.2012-30.12.2012</t>
  </si>
  <si>
    <t>Расходы в соответствии с Распоряжением АТО от 22.08.2012 № 91-р-в (на укрепление МТБ)</t>
  </si>
  <si>
    <t>п.10) п.п. в)</t>
  </si>
  <si>
    <t>Постановление Администрации Колпашевского района от 13.09.2012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муниципального бюджетного учреждения здравоохранения "Колпашевская центральная районная больница"</t>
  </si>
  <si>
    <t>13.09.2012- 25.12.2012</t>
  </si>
  <si>
    <t>Расходы на работы, связанные с установкой и дальнейшей эксплуатацией стендов "Почетный житель Колпашевского района" на территории г.Колпашева</t>
  </si>
  <si>
    <t>Решение Думы Колпашевского района от 10.09.2012 № 122 "О порядке использования средств на установку и эксплуатацию стендов "Почётный житель Колпашевского района"</t>
  </si>
  <si>
    <t>10.09.2012, не установлен</t>
  </si>
  <si>
    <t>Иные межбюджетные трансферты на поощрение поселенческих команд, участвовавших в 7-й летней межпоселенческой спартакиаде в с.Чажемто</t>
  </si>
  <si>
    <t>Иные межбюджетные трансферты на изготовление проекта планировки микрорайона индивидуальной застройки "Юбилейный" в селе Чажемто Колпашевского района Томской области</t>
  </si>
  <si>
    <t>Иные межбюджетные трансферты на благоустройство поселения</t>
  </si>
  <si>
    <t>Иные межбюджетные трансферты на капитальный ремонт муниципального жилья</t>
  </si>
  <si>
    <t>Межбюджетные трансферты из целевого финансового резерва ТО для предупреждения чрезвычайных ситуаций в соответствии с Распоряжением АТО от 27.07.2012 № 682-ра</t>
  </si>
  <si>
    <t>Иные межбюджетные трансферты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</si>
  <si>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Иные межбюджетные трансферты из резервного фонда финансирования непредвиденных расходов АТО ( в соответствии с распоряжением АТО от 22.08.2012 № 91-р-в)</t>
  </si>
  <si>
    <t>Иные межбюджетные трансферты на подготовку генеральных планов, правил землепользования и застройки поселений</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</si>
  <si>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</si>
  <si>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от 10.09.2012 № 117) </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</si>
  <si>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t>
  </si>
  <si>
    <t xml:space="preserve">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</si>
  <si>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t>
  </si>
  <si>
    <t>Решение Думы Колпашевского района от 23.04.2012 № 51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</si>
  <si>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30.03.2012- 31.12.2012</t>
  </si>
  <si>
    <t>Постановление Администрации Колпашевского района от 10.05.2012 № 428 "Об утверждении Порядка определения объема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развитие инфраструктуры дошкольного образования"</t>
  </si>
  <si>
    <t>Постановление Администрации Колпашевского района от 19.09.2012 № 928 "О предоставлении из областного бюджета в 2012 году бюджету МО "Колпашевский район" иного межбюджетного трансферта для награждения , приобретения спортивного оборудования, инвентаря испортивной экипировки командам-победителям и призёрам в командном зачёте XXVI областных летних спортивных игр "Стадион для всех"</t>
  </si>
  <si>
    <t>19.09.2012- 15.10.2012</t>
  </si>
  <si>
    <t>Расходы в соответствии с распоряжением АТО от 17.09.2012 № 102-р-в (на укрепление материально-технической базы ДЮЦ)</t>
  </si>
  <si>
    <t>Расходы в соответствии с распоряжением АТО от 17.09.2012 № 102-р-в (на приобретение мебели)</t>
  </si>
  <si>
    <t>Постановление Администрации Колпашевского района от 30.12.2011 № 1427 "О Порядке определения объема и предоставления субсидий некоммерческим организациям, не являющимися бюджетными учреждениями, в 2012 году" (в редакции от 11.03.2012 № 209, от 09.10.2012 № 996)</t>
  </si>
  <si>
    <t>Постановление Администрации Колпашевского района от 03.10.2012 № 982 "О порядке расходования средств бюджетных ассигнований резервного фонда финансирования непредвиденных расходов Администрации Томской области"</t>
  </si>
  <si>
    <t>03.10.2012- 30.12.2012</t>
  </si>
  <si>
    <t>Распоряжение Администрации Томской области от 17.09.2012 N 102-р-в "Об использовании бюджетных ассигнований резервного фонда финансирования непредвиденных расходов Администрации Томской области"</t>
  </si>
  <si>
    <t>п.6) п.п.а)</t>
  </si>
  <si>
    <t>Иные межбюджетные трансферты из резервного фонда финансирования непредвиденных расходов АТО ( в соответствии с распоряжением АТО от 17.09.2012 № 102-р-в) на укрепление материально-технической базы Чажемтовского КДЦ</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</si>
  <si>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t>
  </si>
  <si>
    <t>МБТ на компенсацию произведенных расходов местного бюджета, связанных с ликвидацией черезвычайной ситуации регионального характера в лесах на территории ТО в соответствии с распоряжением АТО от 10.10.2012 № 882-ра)</t>
  </si>
  <si>
    <t>Расходы в соответствии с распоряжением АТО от 11.10.2012 № 126-р-в (на приобретение элементов детской игровой площадки)</t>
  </si>
  <si>
    <t>Расходы в соответствии с распоряжением АТО от 11.10.2012 № 126-р-в (ТСШ на укрепление материально-технической базы)</t>
  </si>
  <si>
    <t>Иные межбюджетные трансферты на награждение сельскогот поселения, победителя районной сельскохозяйственной ярмарки "Дары осени"</t>
  </si>
  <si>
    <t>Субвенция по обеспечению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(федеральный бюджет)</t>
  </si>
  <si>
    <t>Иные межбюджетные трансферты из резервного фонда финансирования непредвиденных расходов АТО (в соответствии с распоряжением АТО от 11.10.2012 № 126-р-в на укрепление материально-технической базы СКДЦ)</t>
  </si>
  <si>
    <t>пп.б), п. 6)</t>
  </si>
  <si>
    <t>17.09.2012- 30.12.2012</t>
  </si>
  <si>
    <t>Распоряжение Администрации Томской области от 11.10.2012 N 126-р-в "Об использовании бюджетных ассигнований резервного фонда финансирования непредвиденных расходов Администрации Томской области"</t>
  </si>
  <si>
    <t>п.5) п.п.а)</t>
  </si>
  <si>
    <t>11.10.2012- 30.12.2012</t>
  </si>
  <si>
    <t>п.5) п.п.б)</t>
  </si>
  <si>
    <t>Распоряжение Администрации Томской области от 10.10.2011 № 882-ра "О выделении бюджетных ассигнований бюджету муниципального образования "Колпашевский район"</t>
  </si>
  <si>
    <t>10.10.2012- 31.12.2012</t>
  </si>
  <si>
    <t>Постановление Администрации Колпашевского района от 17.10.2012 № 1031 "О расходовании средств субсидии из резервного фонда финансирования непредвиденных расходов Администрации Томской области на приобретение мебели муниципальному бюджетному учреждению здравоохранения "Колпашевская центральная районная больница"</t>
  </si>
  <si>
    <t>14.10.2012- 20.12.2012</t>
  </si>
  <si>
    <t>Постановление Администрации Колпашевского района от 01.11.2012 № 1084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серезвычайных ситуаций бюджету муниципального образования "Колпашевский район"</t>
  </si>
  <si>
    <t>01.112012- 20.11.2012</t>
  </si>
  <si>
    <t>Федеральный Закон от 02.03.2007 № 25-ФЗ "О муниципальной службе в РФ"</t>
  </si>
  <si>
    <t>ст. 34</t>
  </si>
  <si>
    <t>01.06.2007, не установлен</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</si>
  <si>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</si>
  <si>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ст.17, п.1, п.п. 3</t>
  </si>
  <si>
    <t>06.10.2003, не установлен</t>
  </si>
  <si>
    <t>06.10.2003, не утановлен</t>
  </si>
  <si>
    <t xml:space="preserve">06.10.2003, не установлен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</si>
  <si>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</si>
  <si>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</si>
  <si>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</si>
  <si>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РФ;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</si>
  <si>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создание условий для оказания медецинской помощи населению на территории муниципального района (за исключением территорий поселений, включенных в утвержденный Правительством РФ перечень территорий, население которых обеспечивается медецинской помощью в медецинских учреждениях, подведомственных федеральному органу исполнительной власти,осуществляющему функции по медико- санитарному обеспечению населения отдельных территорий) в соответствии с территориальной программой государственных гарантий оказания гражданам РФ бесплатной медецинской помощи</t>
  </si>
  <si>
    <t>2.1.39.</t>
  </si>
  <si>
    <t>осуществление муниципального лесного контроля</t>
  </si>
  <si>
    <t>2.1.40.</t>
  </si>
  <si>
    <t>осуществление муниципального контроля за проведением муниципальных лотерей</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</si>
  <si>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</si>
  <si>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</si>
  <si>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</si>
  <si>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</si>
  <si>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</si>
  <si>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</si>
  <si>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</si>
  <si>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</si>
  <si>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</si>
  <si>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</si>
  <si>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</si>
  <si>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</si>
  <si>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</si>
  <si>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</si>
  <si>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</si>
  <si>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</si>
  <si>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</si>
  <si>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</si>
  <si>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</si>
  <si>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</si>
  <si>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</si>
  <si>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</si>
  <si>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</si>
  <si>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</si>
  <si>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</si>
  <si>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</si>
  <si>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ст.17.1, п.п. 1</t>
  </si>
  <si>
    <t>ст. 15, п.1, п.п. 3</t>
  </si>
  <si>
    <t>Федеральный закон от 21.12.2001 № 178-ФЗ "О приватизации государственного и муниципального имущества"</t>
  </si>
  <si>
    <t>ст. 6, п.2</t>
  </si>
  <si>
    <t>26.04.2002, не установлен</t>
  </si>
  <si>
    <t>Федеральный закон 14.11.2002 № 161-ФЗ "О государственных и муниципальных унитарных предприятиях"</t>
  </si>
  <si>
    <t>ст. 2, п. 1, абз.3</t>
  </si>
  <si>
    <t>02.12.2002, не установлен</t>
  </si>
  <si>
    <t>ст. 15, п.1, п.п. 4</t>
  </si>
  <si>
    <t>ст. 15, п. 1, п.п. 5</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</si>
  <si>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</si>
  <si>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</si>
  <si>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</si>
  <si>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</si>
  <si>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</si>
  <si>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</si>
  <si>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</si>
  <si>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ст.31 п. 1</t>
  </si>
  <si>
    <t>31.07.1992, не установлен</t>
  </si>
  <si>
    <t>ст. 15, п. 1, п.п. 12</t>
  </si>
  <si>
    <t>Гл.3, ст.15, п.1, п.п. 14</t>
  </si>
  <si>
    <t>Гл.3, ст.15, п. 1, п.п. 16</t>
  </si>
  <si>
    <t>Гл.3, ст.15, п. 1, п.п. 18</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</si>
  <si>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</si>
  <si>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</si>
  <si>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</si>
  <si>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</si>
  <si>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</si>
  <si>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</si>
  <si>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</si>
  <si>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Федеральный закон от 04.12.2007 № 329-ФЗ "О физической культуре и спорте в Российской Федерации"</t>
  </si>
  <si>
    <t>ст. 38, п. 4</t>
  </si>
  <si>
    <t>Гл.3, ст.17, п. 1, п.п. 8.1.</t>
  </si>
  <si>
    <t>Гл.3, ст.17, п. 1, п.п. 8.2</t>
  </si>
  <si>
    <t>28.06.1999, не установлен</t>
  </si>
  <si>
    <t>ст. 4, п. 2; ст. 4, п. 5</t>
  </si>
  <si>
    <t>ст. 60, п. 3</t>
  </si>
  <si>
    <t>ст. 7,п. 1, 2</t>
  </si>
  <si>
    <t>01.01.2006 - 31.12.2012</t>
  </si>
  <si>
    <t>ст.29, п. 1, п.п.6.1</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</si>
  <si>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</si>
  <si>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</si>
  <si>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</si>
  <si>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</si>
  <si>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Закон Томской области от 27.03.2009 №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</si>
  <si>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11.04.2009- 31.12.2012</t>
  </si>
  <si>
    <t>ст. 7 п.1</t>
  </si>
  <si>
    <t>31.05.2010- 31.12.2011</t>
  </si>
  <si>
    <t>0501</t>
  </si>
  <si>
    <t>п. 1,2</t>
  </si>
  <si>
    <t>п. 2, п.п. 5</t>
  </si>
  <si>
    <t xml:space="preserve">Соглашение от 10.08.2012 № 196/12 о предоставлении в 2012 году бюджету МО "Колпашевский район" ИМБТ на комплектование книжных фондов библиотек муни ципальных образований, заключенное м/у МО "Колпашевский район" и Департаментом по культуре ТО </t>
  </si>
  <si>
    <t>10.08.2012- 31.12.2012</t>
  </si>
  <si>
    <t>Решение Думы Колпашевского района от 28.01.2010 № 788 "О порядке использования средств ИМБТ на комплектование книжных фондов библиотек муниципальных образований Колпашевского района" (в редакции от 29.08.2011 № 99, от 10.09.2012 № 119)</t>
  </si>
  <si>
    <t>28.01.2010- 31.12.2012</t>
  </si>
  <si>
    <t>Иные межбюджетные трансферты на реализацию мероприятий программы "Чистое Колпашевское городское поселение" в части сбора и вывоза твердых бытовых отходов"</t>
  </si>
  <si>
    <t>Решение Думы Колпашевского района от 14.02.2011 № 11 "О предоставлении ИМБТ бюджету МО "Колпашевское городское поселение" на реализацию мероприятий программы "Чистое Колпашевское городское поселение" в части сбора и вывоза твердых бытовых отходов"</t>
  </si>
  <si>
    <t>14.02.2011- 23.12.2011</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</si>
  <si>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</si>
  <si>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</si>
  <si>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п. 21</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</si>
  <si>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</si>
  <si>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</si>
  <si>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</si>
  <si>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</si>
  <si>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Решение Думы Колпашевского района от 14.02.2011 № 13 "О предоставлении ИМБТ бюджету МО "Колпашевское городское поселение" на оплату расходов по строительству модульной газовой котельной по адресу: г. Колпашево, ул. Крылова, 9/2" (в редакции от 17.10.2011 № 127, от 16.12.2011 № 183)</t>
  </si>
  <si>
    <t>Решение Думы Колпашевского района от 23.01.2012 № 13 "О порядке использования средств субсидии из областного бюджета на оплату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</si>
  <si>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п. 2, п.п. 2</t>
  </si>
  <si>
    <t>Решение Думы Колпашевского района от 14.02.2011 № 9 "О предоставлении МО "Колпашевское городское поселение" ИМБТ на компенсацию расходов по организации теплоснабжения энергоснабжающими организациями, использующими в качестве топлива нефть или мазут"</t>
  </si>
  <si>
    <t>01.01.2010- 31.12.2013</t>
  </si>
  <si>
    <t>Закон Томской области от 12.01.2007 № 18-ОЗ "О предоставлении субсидий местным бюджетам на компенсацию расходов по организации теплоснабжения энергоснабжающими организациями, использующими в качестве топлива нефть или мазут"</t>
  </si>
  <si>
    <t>01.01.2007- 31.12.2013</t>
  </si>
  <si>
    <t>Решение Думы Колпашевского района от 23.01.2012 № 14 "О финансировании расходов на обеспечение условий для развития физической культуры и массового спорта на территрории Колпашевского района" (в редакции от 13.02.2012 № 35)</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</si>
  <si>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</si>
  <si>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01.01.2012- 28.12.2012</t>
  </si>
  <si>
    <t>п. 2, п.п. 1</t>
  </si>
  <si>
    <t>Решение Думы Колпашевского района от 16.07.2012 № 105 "О предоставлении бюджету муниципального образования «Колпашевское городское поселение» иных межбюджетных трансфертов на строительство автодороги ул.Красноармейской– ул.Чкалова– ул.Островского в г.Колпашево Томской области"</t>
  </si>
  <si>
    <t>16.07.2012- 28.12.2012</t>
  </si>
  <si>
    <t>п. 2, п.п. 3</t>
  </si>
  <si>
    <t>Решение Думы Колпашевского района от 25.04.2011 № 37 "О порядке использования средств субсидии на компенсацию расходов по организации электоснабжения от дизельных электростанций в МО "Колпашевский район" (в редакции от 16.07.2012 № 93, от 29.10.2012 № 130)</t>
  </si>
  <si>
    <t>25.04.2012, не установлен</t>
  </si>
  <si>
    <t>Решение Думы Колпашевского района от 06.07.2011 № 82 "О предоставлении ИМБТ бюджету МО "Колпашевское городское поселение" на компенсацию расходов граждан на организацию водоснабжения жилья" (в редакции от 30.09.2011 № 117)</t>
  </si>
  <si>
    <t>п. 2</t>
  </si>
  <si>
    <t>06.07.2001- 23.12.2011</t>
  </si>
  <si>
    <t>Решение Думы Колпашевского района от 14.02.2011 № 7 "О предоставлении ИМБТ бюджету МО "Колпашевское городское поселение" на проведение торжественных мероприятий, приуроченных ко Дню защитника Отечества и Международному женскому дню, для МУ "Центр культуры и досуга"</t>
  </si>
  <si>
    <t>14.02.2011- 15.04.2011</t>
  </si>
  <si>
    <t>Решение Думы Колпашевского района от 14.02.2011 № 19 "О предоставлении ИМБТ МО "Инкинское сельское поселение" на оснащение вертолётной площадки" (в редакции от 25.04.2011 № 45)</t>
  </si>
  <si>
    <t>Решение Думы Колпашевского района от 14.02.2011 № 15 "О предоставлении ИМБТ бюджету МО "Инкинское сельское поселение" на оплату расходов тепловой энергии МУ "Инкинский СКДЦ"</t>
  </si>
  <si>
    <t>Решение Думы Колпашевского района от 14.02.2011 № 16 "О предоставлении ИМБТ бюджету МО "Инкинское сельское поселение" на приобретение и установку приборов учета воды и тепла в административном здании Администрации Инкинского поселения"</t>
  </si>
  <si>
    <t>Решение Думы Колпашевского района от 20.06.2011 № 68 "О предоставлении иных межбюджетных трансфертов бюджету муниципального образования "Чажемтовское сельское поселение" на расходы, связанные с благоустройством поселения"</t>
  </si>
  <si>
    <t>20.06.2011- 23.12.2011</t>
  </si>
  <si>
    <t>Решение Думы Колпашевского района от 18.03.2011 № 26 "О предоставлении бюджетам Чажемтовского и Инкинского сельских поселений иных межбюджетных трансфертов на осуществление дорожной деятельности в отношении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</si>
  <si>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18.03.2011- 23.12.2011</t>
  </si>
  <si>
    <t>Решение Думы Колпашевского района от 14.02.2011 № 17 "О предоставлении ИМБТ бюджету МО "Инкинское сельское поселение" на ремонт павильонов вогдонапорных башен в с.Инкино"</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</si>
  <si>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 от 14.05.2012 № 447, от 06.06.2012 № 547)</t>
  </si>
  <si>
    <t>Решение Думы Колпашевского района от 25.04.2011 № 41"О порядке предоставления поселениям Колпашевского района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</si>
  <si>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Постановление Администрации Колпашевского района от 06.06.2012 № 548 "О распределении средств иных межбюджетных трансфертов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2012 году"</t>
  </si>
  <si>
    <t>25.04.2011- 31.12.2013</t>
  </si>
  <si>
    <t>06.06.2012- 31.12.2012</t>
  </si>
  <si>
    <t>Решение Думы Колпашевского района от 14.02.2011 № 10 "О предоставлении ИМБТ бюджету МО "Колпашевское городское поселение" на реализацию мероприятий по организации уличного освещения"</t>
  </si>
  <si>
    <t>Решение Думы Колпашевского района от 14.02.2011 № 14 "О предоставлении ИМБТ бюджету МО "Колпашевское городское поселение" на приобретение сетей теплоснабжения для газовых котельных в г.Колпашево и с. Тогур" (в редакции от 16.12.2011 № 183)</t>
  </si>
  <si>
    <t>Распоряжение Администрации Колпашевского района от 08.04.2011 № 265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муниципальному учреждению "Чажемтовский сельский культурно-досуговый центр" на укрепление материально-технической базы Дома культуры с. Озерное"</t>
  </si>
  <si>
    <t>08.04.2011- 15.09.2011</t>
  </si>
  <si>
    <t>Распоряжение Администрации Колпашевского района от 05.04.2011 № 251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на укрепление материально-технической базы Дома культуры "Рыбник" муниципального учреждения "Центр культуры и досуга"</t>
  </si>
  <si>
    <t>05.04.2011- 15.08.2011</t>
  </si>
  <si>
    <t>1105</t>
  </si>
  <si>
    <t>Решение Думы Колпашевского района от 25.04.2011 № 41 "О порядке предоставления поселениям Колпашевского района ИМБТ на реализацию мероприятий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спортвных игр "Стадион для всех" в 2013 году"</t>
  </si>
  <si>
    <t>Распоряжение Администрации Колпашевского района от 28.03.2011 № 235 "О распределении средств ИМБТ на поощрение поселенческих команд учавствовавших в 4-й зимней межпоселенческой спартакиаде в с.Копыловка, из бюджета муниципального образования "Колпашевский район" в 2011 году"</t>
  </si>
  <si>
    <t>28.03.2011- 15.07.2011</t>
  </si>
  <si>
    <t>Решение Думы Колпашевского района от 25.04.2011 № 46 "О предоставлении ИМБТ на разработку проекта генерального плана Колпашевского городского поселения Колпашевского района Томской области и правил землепользования и застройки" (в редакции от 16.12.2011)</t>
  </si>
  <si>
    <t>25.04.2011-23.12.2011</t>
  </si>
  <si>
    <t>Решение Думы Колпашевского района от 25.04.2011 № 44 "О предоставлении ИМБТ бюджетам муниципальных образований Колпашевского района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</si>
  <si>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Постановление Администрации Томской области от 10.07.2010 N 115а "О проведении областного ежегодного конкурса на звание "Самое благоустроенное муниципальное образование Томской области"</t>
  </si>
  <si>
    <t>10.07.2010, не установлен</t>
  </si>
  <si>
    <t>Постановление Администрации Колпашевского района от 10.06.2011 № 559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13.05.2011 № 29-р-в</t>
  </si>
  <si>
    <t>10.06.2011- 01.11.2011</t>
  </si>
  <si>
    <t>Постановление Администрации Колпашевского района от 02.06.2011 № 512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устройство противопожарных защитных (минерализован-ных) полос для защиты населённых пунктов, расположенных в лесах или в 100 метрах от них"</t>
  </si>
  <si>
    <t>02.06.2011- 23.07.2011</t>
  </si>
  <si>
    <t>Решение Думы Колпашевского района от 20.06.2011 № 71 "О предоставлении иных межбюджетных трансфертов муниципальному образованию "Новоселовское сельское поселение"</t>
  </si>
  <si>
    <t>Постановление Администрации Колпашевского района от 20.05.2011 № 477 "О порядке предоставления бюджетных  ассигнований муниципальному образованию  «Колпашевское городское поселение»  на приобретение материалов для ремонта  канализационной системы домов по адресу:  г.Колпашево, ул.Чапаева,18/1, 20/1"</t>
  </si>
  <si>
    <t>20.05.2011- 01.10.2011</t>
  </si>
  <si>
    <t>Решение Думы Колпашевского района от 20.06.2011 № 64 "О предоставлении иных межбюджетных трансфертов муниципальному образованию "Национальное Иванкинское сельское поселение" на приобретение автомобиля УАЗ 220694 для перевозки пассажиров"</t>
  </si>
  <si>
    <t>Решение Думы Колпашевского района от 20.06.2011 № 69 "О предоставлении иных межбюджетных трансфертов бюджету муниципального образования "Чажемтовское сельское поселение" на приобретение материалов на ремонт и содержание уличного освещения"</t>
  </si>
  <si>
    <t>Решение Думы Колпашевского района от 20.06.2011 № 70 "О предоставлении иных межбюджетных трансфертов бюджету муниципального образования "Чажемтовское сельское поселение" на приобретение контейнеров для сбора бытового мусора"</t>
  </si>
  <si>
    <t>Решение Думы Колпашевского района от 20.06.2011 № 72 "О предоставлении иных межбюджетных трансфертов бюджету "Новогоренское сельское поселение" на строительство и проведение ремонта объектов спортивной направленности"</t>
  </si>
  <si>
    <t>Решение Думы Колпашевского района от 20.06.2011 № 65 "О предоставлении иных межбюджетных трансфертов на выполнение работ по изготовлению проектно-сметной документации с инженерно-геологическими изысканиями муниципальному образованию "Чажемтовское сельское поселение"</t>
  </si>
  <si>
    <t>20.06.2011- 10.11.2011</t>
  </si>
  <si>
    <t>Решение Думы Колпашевского района от 29.08.2011 № 97 "О предоставлении иных межбюджетных трансфертов на проведение работ по ремонту и ктеплению фасада жилого дома по улице Коммунистическая, 6/1 муниципальному образованию "Колпашевское городское поселение" (в редакции от 17.10.2011 № 131)</t>
  </si>
  <si>
    <t>Решение Думы Колпашевского района от 20.06.2011 № 67 "О предоставлении иных межбюджетных трансфертов бюджету муниципального образования "Колпашевское городское поселени" на компенсацию убытков организаций, эксплуатирующих коммунальные объекты, принятые в муниципальную собственность, в связи с расформированием войсковой части в г.Колпашево" (в редакции от 29.08.2011 № 105, 25.11.2011 № 158, от 16.12.2011 № 179)</t>
  </si>
  <si>
    <t>Решение Думы Колпашевского района от 29.08.2011 № 96 "О предоставлениии иных межбюджетных трансфертов на разработку генерального плана, правил землепользования и застройки Колпашевского городского поселения Колпашевского района" (в редакции от 16.12.2011 № 172)</t>
  </si>
  <si>
    <t>Решение Думы Колпашевского района от 23.04.2012 № 55 "О предоставлении ИМБТ на подготовку генерального плана, правил землепользования и застройки Колпашевского городского поселения Колпашевского района Томской области"</t>
  </si>
  <si>
    <t>Постановление Администрации Колпашевского района от 10.08.2011 № 807 "О расходовании средств резервного фонда финансирования непредвиденных расходов Администрации Томской области, выделенных бюджету МО "Колпашевский район" в соответствии с распоряжением Администрации Томской области от 20.07.2011 № 53-р-в"</t>
  </si>
  <si>
    <t>29.08.2011- 23.12.2011</t>
  </si>
  <si>
    <t>23.04.2012- 23.12.2012</t>
  </si>
  <si>
    <t>10.08.2011- 30.12.2011</t>
  </si>
  <si>
    <t>Постановление Администрации Колпашевского района от 01.09.2011 № 894 "О расходовании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соответствии с распоряжением Администрации Томской области от 02.08.2011 № 58-р-в"</t>
  </si>
  <si>
    <t>Решение Думы Колпашевского района от 29.08.2011 № 102 "О предоставлении иных межбюджетных трансфертов бюджету муниципального образования "Колпашевское городское поселение" на выполнение инженерно- геологического обоснования для проектирования газовых модульных котельных" (в редакции от 16.12.2011 № 183)</t>
  </si>
  <si>
    <t>Постановление Администрации Колпашевского района от 10.08.2011 № 808 "О расходовании средств резервного фонда финансирования непредвиденных расходов Администрации Томской области от 20.07.2011 № 53-р-в</t>
  </si>
  <si>
    <t>Постановление Администрации Колпашевского района от 28.06.2011 № 638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соответствии с распоряжением Администрации Томской области от 09.06.2011 № 40-р-в"</t>
  </si>
  <si>
    <t>01.09.2011- 30.12.2011</t>
  </si>
  <si>
    <t>10.08.2011-30.12.2011</t>
  </si>
  <si>
    <t>28.06.2011- 01.12.2011</t>
  </si>
  <si>
    <t>Распоряжение Администрации Колпашевского района от 05.09.2011 № 756 "О распределении средств иных межбюджетных трансфертов на поощрение поселенческих команд участвовавших в 6-й летней межпоселенческой спартакиаде в д.Новогорное, из бюджета муниципального образования "Колпашевский район" в 2011 году"</t>
  </si>
  <si>
    <t>Решение Думы Колпашевского района от 29.08.2011 № 106 "О предоставлении иных межбюджетных трансфертов бюджету муниципального образования "Инкинское сельское поселение" на подготовку коммунальных объектов к отопительному сезону 2011-2012 годов" (в редакции от 16.12.2011 № 183)</t>
  </si>
  <si>
    <t>Решение Думы Колпашевского района от 29.08.2011 № 101 "О предоставлении иных межбюджетных трансфертов бюджету муниципального образования "Колпашевское городское поселение" на проектирование и строительство газораспределительных сетей многоквартирных домов" (в редакции от 17.10.2011 № 126, от 16.12.2011 № 183)</t>
  </si>
  <si>
    <t>Решение Думы Колпашевского района от 29.08.2011 № 104 "О предоставлении иных межбюджетных трансфертов бюджету муниципального образования "Новоселовское сельское поселение" на ремонт водопровода в с.Маракса" (в редакции от 16.12.2011 № 183)</t>
  </si>
  <si>
    <t>05.09.2011- 15.12.2011</t>
  </si>
  <si>
    <t>Постановление Администрации Колпашевского района от 04.07.2011 № 661 "О расходованиии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16.06.2011 № 562-ра"</t>
  </si>
  <si>
    <t>Постановление Администрации Колпашевского района от 23.08.2011 № 848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02.08.2011 № 58-р-в" (в редакции от 20.12.2011 № 1346)</t>
  </si>
  <si>
    <t>Решение Думы Колпашевского района от 29.08.2011 № 98 "О предоставлении иных межбюджетных трансфертов на исполнение межбюджетных трансфертов на исполнение решения Колпашевского городского суда Томской области от 18.05.2011 № 2-350/2011"</t>
  </si>
  <si>
    <t>Постановление Администрации Колпашевского района от 19.09.2011 № 984 "О распределении иных межбюджетных трансфертов на исполнение межбюджетных трансфертов на исполнение решения Колпашевского городского суда Томской области от 18.05.2011 № 2-350/2011" (в редакции от 29.11.2011 № 1263)</t>
  </si>
  <si>
    <t>Решение Думы Колпашевского района от 29.08.2011 № 103 "О предоставлении иных межбюджетных трансфертов бюджету муниципального образования "Колпашевское городское поселение" на ремонт теплосети и сети горячего водоснабжения по адресу г.Колпашево, мкр.Геолог, 16 (от тепловой камеры ТК-7 до МДОУ № 3)" (в редакции от 16.12.2011 № 183)</t>
  </si>
  <si>
    <t>04.07.2011- 30.12.2011</t>
  </si>
  <si>
    <t>23.08.2011- 30.12.2011</t>
  </si>
  <si>
    <t>29.08.2011- 15.12.2011</t>
  </si>
  <si>
    <t>19.09.2011- 15.12.2011</t>
  </si>
  <si>
    <t>Решение Думы Колпашевского района от 30.09.2011 № 122 "О предоставлении в 2011 году иных межбюджетных трансфертов муниципальному образованию «Чажемтовское сельское поселение» на строительство ВЛЭП по ул.Ягодная в с.Чажемто"</t>
  </si>
  <si>
    <t>Решение Думы Колпашевского района от 30.09.2011 № 121 "О предоставлении в 2011 году иных межбюджетных трансфертов муниципальному образованию «Чажемтовское сельское поселение» на строительство ВЛЭП по пер.Таежный в с.Чажемто"</t>
  </si>
  <si>
    <t xml:space="preserve">Решение Думы Колпашевского района от 30.09.2011 № 123 "О предоставлении в 2011 году иных межбюджетных трансфертов муниципальному образованию «Чажемтовское сельское поселение» на строительство гравированной дороги по ул.Ягодная в с.Чажемто" </t>
  </si>
  <si>
    <t>Решение Думы Колпашевского района от 23.11.2010 № 21 "О бюджете муниципального образования "Колпашевский район" на 2011 год"</t>
  </si>
  <si>
    <t>30.09.2011- 25.12.2011</t>
  </si>
  <si>
    <t>1403</t>
  </si>
  <si>
    <t>Постановление Администрации Колпашевского района от 23.09.2011 № 1013 "О порядке предоставления бюджетных ассигнований муниципальному образованию "Чажемтовское сельское поселение" на строительство инженерной инфраструктуры территорий индивидуальной застройки в с.Чажемто" (в редакции от 27.12.2011 № 1392)</t>
  </si>
  <si>
    <t>Постановление Администрации Колпашевского района от 10.08.2011 № 807 "О расходовании средств резервного фонда финансирования непредвиденных расходов Администрации Томской области, выделенных бюджету МО "Колпашевский район" в соответствии с распоряжением Администрации Томской области от 22.09.2011 № 65-р-в" (в редакции от 22.12.2011 № 1370)</t>
  </si>
  <si>
    <t>Решение Думы Колпашевского района от 30.09.2011 № 120 "О предоставлении иных межбюджетных трансфертов бюджету муниципального образования «Новоселовское сельское поселение» на укрепление материально-технической базы МУ «Новоселовский СКДЦ» (в редакции от 25.11.2011 № 149)</t>
  </si>
  <si>
    <t>Решение Думы Колпашевского района от 30.09.2011 № 119 "О предоставлении иных межбюджетных трансфертов бюджету муниципального образования «Саровское сельское поселение» на укрепление материально-технической базы МУ «Саровский СКДЦ» (в редакции от 25.11.2011 № 149)</t>
  </si>
  <si>
    <t>23.09.2011- 20.12.2011</t>
  </si>
  <si>
    <t>30.09.2011- 15.11.2011</t>
  </si>
  <si>
    <t>Постановление Администрации Колпашевского района от 23.09.2011 № 1008 "О расходовании средств резервного фонда финансирования непредвиденных расходов Администрации Томской области, выделенных бюджету МО "Колпашевский район" в соответствии с распоряжением Администрации Томской области от 22.09.2011 № 72-р-в"</t>
  </si>
  <si>
    <t>Постановление Администрации Колпашевского района от 01.09.2011 № 893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28.09.2011 № 1028)</t>
  </si>
  <si>
    <t>Постановление Администрации Колпашевского района от 06.09.2011 № 921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12.08.2011 № 61-р-в</t>
  </si>
  <si>
    <t>Постановление Администрации Колпашевского района от 26.09.2011 № 1015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25.08.2011 № 65-р-в</t>
  </si>
  <si>
    <t>23.09.2011- 30.12.2011</t>
  </si>
  <si>
    <t>06.09.2011- 30.12.2011</t>
  </si>
  <si>
    <t>26.09.2011- 30.12.2011</t>
  </si>
  <si>
    <t>Постановление Администрации Колпашевского района от 06.09.2011 № 919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12.08.2011 № 61-р-в</t>
  </si>
  <si>
    <t>Решение Думы Колпашевского района от 30.09.2011 № 114 "О предоставлении иных межбюджетных трансфертов бюджету муниципального образования «Чажемтовское сельское поселение» на подготовку и проведение поселенческой сельскохозяйственной ярмарки в 2011 году"</t>
  </si>
  <si>
    <t>Решение Думы Колпашевского района от 30.09.2011 № 115 "О предоставлении иных межбюджетных трансфертов бюджету муниципального образования «Колпашевское городское поселение» на подготовку и проведение поселенческой сельскохозяйственной ярмарки в 2011 году"</t>
  </si>
  <si>
    <t>Постановление Администрации Колпашевского района от 06.09.2011 № 918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12.08.2011 № 61-р-в</t>
  </si>
  <si>
    <t>Постановление Администрации Колпашевского района от 06.09.2011 № 917 "О расходовании средств резервного фонда финансирования непредвиденных расходов Администрации Томской области, выделенных бюджету муниципальное образование "Колпашевский район", в соответствии с распоряжением Администрации Томской области от 12.08.2011 № 61-р-в</t>
  </si>
  <si>
    <t>30.09.2011- 10.12.2011</t>
  </si>
  <si>
    <t>Решение Думы Колпашевского района от 30.09.2011 № 113 "О предоставлении иных межбюджетных трансфертов бюджету муниципального образования «Колпашевское городское поселение» на проведение выборов Главы муниципального образования «Колпашевское городское поселение»</t>
  </si>
  <si>
    <t>Постановление Администрации Колпашевского района от 02.12.2011 № 1269 "О распределении средств иных межбюджетных трансфертов на исполнение решения Колпашевского городского суда Томской области от 04.10.2011 № 2-974/2011" (в редакции от 20.12.2011 № 1354)</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</si>
  <si>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</si>
  <si>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Постановление Администрации Колпашевского района от 05.12.2011 № 1284 "О распределении средств иных межбюджетных трансфертов на исполнение решения Колпашевского городского суда Томской области от 11.10.2011 № 2-985/2011" (в редакции от 13.02.2012 № 132)</t>
  </si>
  <si>
    <t xml:space="preserve">Решение Думы Колпашевского района от 30.09.2011 №  116 "О предоставлении иных межбюджетных трансфертов бюджету муниципального образования «Колпашевское городское поселение» на капитальный ремонт муниципальных жилых помещений" (в редакции от 23.01.2012 № 10)
</t>
  </si>
  <si>
    <t>Постановление Администрации Колпашевского района от 29.08.2011 № 878 "О порядке предоставления бюджетных ассигнований муниципальному образованию "Чажемтовское сельское поселение" на ремонт жилого дома по адресу: с.Чажемто, ул.Зелёная, 2." ( в редакции от 25.11.2011 № 1246)</t>
  </si>
  <si>
    <t>30.09.2011- 23.12.2011</t>
  </si>
  <si>
    <t>02.12.2011- 30.12.2011</t>
  </si>
  <si>
    <t>05.12.2011- 12.04.2012</t>
  </si>
  <si>
    <t>25.11.2011, не установлен</t>
  </si>
  <si>
    <t>30.09.2011- 29.12.2011</t>
  </si>
  <si>
    <t>29.08.2011- 25.12.2011</t>
  </si>
  <si>
    <t>Решение Думы Колпашевского района от 17.10.2011 № 132 "О предоставлении иных межбюджетных трансфертов бюджету муниципального образования "Новоселовское сельское поселение" на изготовление и установку спортивных сооружений в д.Маракса, включая приобретение пиломатериала"</t>
  </si>
  <si>
    <t>Решение Думы Колпашевского района от 17.10.2011 № 128 "О предоставлении иных межбюджетных трансфертов бюджетам поселений Колпашевского района на организацию благоустройства поселений" (в редакции от 16.12.2011 № 181, от 23.01.2012)</t>
  </si>
  <si>
    <t>Решение Думы Колпашевского района от 17.10.2011 № 125 "О предоставлении иных межбюджетных трансфертов бюджету муниципального образования "Колпашевское городское поселение" на оказание содействия в реализации энергоэффективных проектов"</t>
  </si>
  <si>
    <t>Решение Думы Колпашевского района от 23.04.2012 № 62 "О предоставлении иных межбюджетных трансфертов бюджету муниципального образования «Колпашевское городское поселение» на строительство комплексной спортивной площадки              в с.Тогур Колпашевского района"</t>
  </si>
  <si>
    <t>23.04.2012- 25.12.2012</t>
  </si>
  <si>
    <t>17.10.2011- 25.12.2011</t>
  </si>
  <si>
    <t>17.10.2011- 28.12.2011</t>
  </si>
  <si>
    <t>17.10.2011- 23.12.2011</t>
  </si>
  <si>
    <t>Решение Думы Колпашевского района от 17.10.2011 № 128 "Опредоставлении иных межбюджетных трансфертов бюджетам поселений Колпашевского района на организацию благоустройства поселений"</t>
  </si>
  <si>
    <t>Распоряжение Администрации Колпашевского района от 14.10.2011 № 850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2011 году"</t>
  </si>
  <si>
    <t>Решение Думы Колпашевского района от 25.11.2011 № 156 "О предоставлении иных межбюджетных трансфертов бюджету муниципального образования «Саровское сельское поселение» на ремонт автомобиля УАЗ-220694-04"</t>
  </si>
  <si>
    <t>Решение Думы Колпашевского района от 25.11.2011 № 151 "О предоставлении иных межбюдетных трансфертов бюджету муниципального образования "Новоселовское сельское поселение" на организацию электроснабжения котельных Новоселовского сельского поселения"</t>
  </si>
  <si>
    <t>17.10.2011- 20.12.2011</t>
  </si>
  <si>
    <t>14.10.2011- 20.11.11</t>
  </si>
  <si>
    <t>25.11.2011- 23.12.2011</t>
  </si>
  <si>
    <t>Решение Думы Колпашевского района от 25.11.2011 № 148 "О предоставлении иных межбюдетных трансфертов бюджету муниципального образования "Новогоренское сельское поселение" на укрепление материально-технической базы МУ "Новогоренский СКДЦ" (в редакции от 16.12.2011 № 169)</t>
  </si>
  <si>
    <t>Решение Думы Колпашевского района от 23.04.2012 № 63 "О предоставлении иных межбюджетных трансфертов бюджету муниципального образования «Колпашевское городское поселение» на изготовление и установку детских игровых площадок."</t>
  </si>
  <si>
    <t>Решение Думы Колпашевского района от 25.11.2011 № 154 "О предоставлении иных межбюджетных трансфертов бюджету муниципального образования «Саровское сельское поселение» на приобретение топлива для организации теплоснабжения Дома культуры с.Новоильинка"</t>
  </si>
  <si>
    <t>25.11.2011-25.12.2011</t>
  </si>
  <si>
    <t>23.04.2012- 10.09.2012</t>
  </si>
  <si>
    <t>Постановление Администрации Колпашевского района от 05.10.2011 № 1050 "О расходовании средств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21.09.2011 № 75-р-в"</t>
  </si>
  <si>
    <t>Постановление Администрации Колпашевского района от 07.11.2011 № 1169 "О порядке предоставления бюджетных ассигнований муниципальному образованию "Колпашевское городское поселение" на приобретение и установку водосборных желобов и водосточных труб на жилом доме по адресу: г.Колпашево, ул.Обская, 27" (в редакции от 26.12.2011 № 1382)</t>
  </si>
  <si>
    <t>Постановление Администрации Колпашевского района от 09.11.2011 № 1180 "О расходовании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соответствии с распоряжением Администрации Томской области от 21.10.2011 № 85-р-в"</t>
  </si>
  <si>
    <t>Решение Думы Колпашевского района от 25.11.2011 № 153 "О предоставлении иных межбюджетных трансфертов бюджету муниципального образования «Колпашевское городское поселение» на ремонт теплосетей и сетей холодного водоснабжения от модульной котельной «ТГТ» до муниципального дошкольного образовательного учреждения «Детский сад общеразвивающего вида № 9"</t>
  </si>
  <si>
    <t>05.10.2011- 30.12.2011</t>
  </si>
  <si>
    <t>07.11.2011- 28.12.2011</t>
  </si>
  <si>
    <t>09.11.2011- 31.12.2011</t>
  </si>
  <si>
    <t>Постановление Администрации Колпашевского района от 06.12.2011 № 1288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бюджету муниципального образования "Колпашевский район", для долевого участия в проведении работ на аварийном объекте - наружном водопроводе в г.Колпашево, ул.Горького (от ул.Ленина до ул.Коммунистическая) с целью предупреждения черезвычайной ситуации, связанной с обеспечением населения водой"</t>
  </si>
  <si>
    <t>Постановление Администрации Колпашевского района от 09.11.2011 № 1181 "О порядке предоставления бюджетных ассингований муниципальному образованию "Колпашевское городское поселение" на строительство водопровода" (в редакции от 27.12.2011 № 1404)</t>
  </si>
  <si>
    <t>Решение Думы Колпашевского района от 25.11.2011 № 147 "О предоставлении иных межбюджетных трансфертов бюджету муниципального образования "Колпашевское городское поселение" на укрепление материально-технической базы муниципального учреждения "Центр культуры и досуга" (в редакции от 16.12.2011 № 171)</t>
  </si>
  <si>
    <t>Постановление Администрации Колпашевского района от 29.11.2011 № 1261 "О порядке расходования средств бюджетных ассигнований, выделенных бюджету муниципального образования "Колпашевский район"  "Колпашевский район" в соответствии с распоряжением Администрации Томской области от 17.10.2011 № 1019-ра "О предоставлении бюджетных ассигнований бюджету муниципального образования "Колпашевский район"</t>
  </si>
  <si>
    <t>06.12.2011- 25.12.2011</t>
  </si>
  <si>
    <t>09.11.2011- 29.12.2011</t>
  </si>
  <si>
    <t>25.11.2011- 27.12.2011</t>
  </si>
  <si>
    <t>29.11.2011- 20.12.2011</t>
  </si>
  <si>
    <t>Решение Думы Колпашевского района от 25.11.2011 № 157 "О предоставлении иных межбюджетных трансфертов бюджету муниципального образования «Колпашевское городское поселение» на возмещение теплоснабжающим организациям затрат, обусловленных незапланированным в тарифе на тепловую энергию ростом цен на уголь в муниципальных образованиях, расположенных в местностях, приравненных к районам Крайнего Севера"</t>
  </si>
  <si>
    <t>Решение Думы Колпашевского района от 25.11.2011 № 152 "О предоставлении иных межбюджетных трансфертов бюджету муниципального образования "Колпашевское городское поселение" на приобретение в муниципальную собственность газораспределительных сетей г.Колпашево и с.Тогур Колпашевского района Томской области, 5 очередь" (в редакции от 16.12.2011 № 182)</t>
  </si>
  <si>
    <t>Решение Думы Колпашевского района от 16.12.2011 № 177 "О предоставлении иных межбюджетных трансфертов бюджету муниципального образования «Новогоренское сельское поселение» на организацию уличного освещения"</t>
  </si>
  <si>
    <t>Решение Думы Колпашевского района от 16.12.2011 № 177 "О предоставлении иных межбюджетных трансфертов бюджету муниципального образования «Новогоренское сельское поселение» на ремонт автомобиля УАЗ-2206"</t>
  </si>
  <si>
    <t>25.11.2011- 25.12.2011</t>
  </si>
  <si>
    <t>16.12.2011- 26.12.2011</t>
  </si>
  <si>
    <t>16.12.2011- 28.12.2011</t>
  </si>
  <si>
    <t>Постановление Администрации Колпашевского района от 26.06.2012 № 614 "О порядке использования средств субсидии из областного бюджета Томской области на установку приборов учёта потребления теплоэнергетических ресурсов в муниципальных учреждениях Томской области"</t>
  </si>
  <si>
    <t>0113, 0801,</t>
  </si>
  <si>
    <t>Решение Думы Колпашевского района от 23.04.2012 № 71 " О предоставлении иных межбюджетных трансфертов бюджету муниципального образования «Колпашевское городское поселение»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чрезвычайной ситуации"</t>
  </si>
  <si>
    <t>Решение Думы Колпашевского района от 23.04.2012 № 72 "О предоставлении иных межбюджетных трансфертов бюджету муниципального образования «Колпашевское городское поселение» на проведение аварийно-восстановительных работ на котельной «Лазо» по адресу: г.Колпашево, ул.Крылова, 9/2"</t>
  </si>
  <si>
    <t>Решение Думы Колпашевского района от 16.12.2011 № 170 "О предоставлении иных межбюджетных трансфертов бюджету муниципального образования «Колпашевское городское поселение» на укрепление материально-технической базы МУ «Библиотека»</t>
  </si>
  <si>
    <t>Постановление Администрации Колпашевского района от 14.05.2012 № 449 "О порядке использования средств субсидии из областного бюджета на строительство автодороги ул.Красноармейской - ул.Чкалова - ул.Островского в г.Колпашево Томской области"</t>
  </si>
  <si>
    <t>Решение Думы Колпашевского района от 13.02.2012 № 36 "О предоставлении ИМБТ бюджету МО "Колпашевское городское поселение" на оплату проектирования газовой модульной котельной "Школа 4" (в редакции от 29.10.2012 № 134)</t>
  </si>
  <si>
    <t>13.02.2012- 23.12.2012</t>
  </si>
  <si>
    <t>14.05.2012- 28.12.2012</t>
  </si>
  <si>
    <t>16.12.2011- 27.12.2011</t>
  </si>
  <si>
    <t>23.04.2012- 20.12.2012</t>
  </si>
  <si>
    <t>26.06.2012- 05.07.2012</t>
  </si>
  <si>
    <t>Решение Думы Колпашевского района от 13.02.2012 № 40 "О предоставлении ИМБТ бюджету МО "Колпашевское городское поселение" на софинансирование мероприятий по капитальному ремонту многоквартирных домов"</t>
  </si>
  <si>
    <t>Решение Думы Колпашевского района от 13.02.2012 № 37 "О предоставлении ИМБТ бюджету МО "Колпашевское городское поселение" на приобретение сетей теплоснабжения для газовых котельных"</t>
  </si>
  <si>
    <t>Решение Думы Колпашевского района от 13.02.2012 № 38 "О предоставлении ИМБТ бюджету МО "Колпашевское городское поселение" на приобретение мотокос и приобретение и установку остановочных павильонов" (в редакции от 23.04.2012 № 74)</t>
  </si>
  <si>
    <t>Решение Думы Колпашевского района от 13.02.2012 № 39 "О предоставлении ИМБТ бюджету МО "Колпашевское городское поселение" на проведение работ по аварийно-спасательным и аварийно-восстановительным работам по газовой котельной "Лазо" (г.Колпашево, ул. Крылова, 9/2)"</t>
  </si>
  <si>
    <t>Решение Думы Колпашевского района от 13.02.2012 № 28 "О предоставлении ИМБТ бюджету МО "Новоселовское сельское поселение" на укрепление материально-технической базы МБУ "Новоселовский СКДЦ"</t>
  </si>
  <si>
    <t>Решение Думы Колпашевского района от 13.02.2012 № 29 "О предоставлении ИМБТ бюджету МО "Чажемтовское сельское поселение" на укрепление материально-технической базы МКУ "Чажемтовский СКДЦ"</t>
  </si>
  <si>
    <t>Решение Думы Колпашевского района от 13.02.2012 № 30 "О предоставлении ИМБТ бюджету МО "Дальненское сельское поселение" на укрепление материально-технической базы МКУ "Дальненский СКДЦ"</t>
  </si>
  <si>
    <t>Решение Думы Колпашевского района от 13.02.2012 № 31 "О предоставлении ИМБТ бюджету МО "Инкинское сельское поселение" на укрепление материально-технической базы МКУ "Инкинский СКДЦ"</t>
  </si>
  <si>
    <t>Решение Думы Колпашевского района от 13.02.2012 № 32 "О предоставлении ИМБТ бюджету МО "Копыловское сельское поселение" на укрепление материально-технической базы МКУ "Копыловский СКДЦ"</t>
  </si>
  <si>
    <t>Решение Думы Колпашевского района от 13.02.2012 № 33 "О предоставлении ИМБТ бюджету МО "Саровское сельское поселение" на укрепление материально-технической базы МКУ "Саровский СКДЦ"</t>
  </si>
  <si>
    <t>Решение Думы Колпашевского района от 13.02.2012 № 34 "О предоставлении ИМБТ бюджету МО "Национальное Иванкинское сельское поселение" на приобретение травокосилки в рамках благоустройства Иванкинского поселения"</t>
  </si>
  <si>
    <t>13.02.2012- 20.12.2012</t>
  </si>
  <si>
    <t>13.02.2012- 25.12.2012</t>
  </si>
  <si>
    <t>13.02.2012- 30.10.2012</t>
  </si>
  <si>
    <t>Решение Думы Колпашевского района от 13.02.2012 № 41 "О предоставлении ИМБТ на приобретение травокосилок в рамках благоустройства Новогоренского поселения поселения"</t>
  </si>
  <si>
    <t>Решение Думы Колпашевского района от 23.04.2012 № 70 "О предоставлении иных межбюджетных трансфертов бюджетам поселений Колпашевского района на организацию благоустройства территорий"</t>
  </si>
  <si>
    <t>Распоряжение Администрации Колпашевского района от 19.04.2012 № 208 "О распределении средств иных межбюджетных трансфертов на поощрение поселенческих команд, участвовавших в 5-й зимней межпоселенческой спартакиаде в с.Новосёлово, из бюджета муниципального образования "Колпашевский район" в 2012 году"</t>
  </si>
  <si>
    <t>Решение Думы Колпашевского района от 23.04.2012 № 76 " О предоставлении иных межбюджетных трансфертов бюджету муниципального образования «Колпашевское городское поселение» на софинансирование расходов на строительство газовых котельных взамен нефтяных"</t>
  </si>
  <si>
    <t>23.04.2012- 15.12.2012</t>
  </si>
  <si>
    <t>19.04.2012- 01.07.2012</t>
  </si>
  <si>
    <t>Решение Думы Колпашевского района от 25.11.2011 № 142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резервного фонда Администрации Томской области по ликвидации последствий стихийных бедствий и других чрезвычайных ситуаций, целевого финансового резерва Томской области для предупреждения чрезвычайных ситуаций"</t>
  </si>
  <si>
    <t>Постановление Администрации Колпашевского района от 15.02.2012 № 139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чрезвычайных ситуаций бюджету муниципального образования «Колпашевский район», на приобретение топлива для котельных муниципального унитарного предприятия «Пламя» с целью ликвидации чрезвычайной ситуации"</t>
  </si>
  <si>
    <t>15.02.2012- 15.07.2012</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</si>
  <si>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</si>
  <si>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Постановление Администрации Колпашевского района от 23.08.2012 № 823 "О распределении средств  иных межбюджетных трансфертов Колпашевскому городскому поселению  на исполнение  решений Колпашевского городского суда Томской области"</t>
  </si>
  <si>
    <t>Постановление Администрации Колпашевского района от 17.04.2012 № 364 "О распределении средств иных межбюджетных трансфертов Колпашевскому городскому поселению и Саровскому сельскому поселению на исполнение решений Колпашевского городского суда Томской области" (в редакции от 08.06.2012 № 551)</t>
  </si>
  <si>
    <t>Постановление Администрации Колпашевского района от 24.09.2012 № 940 "О распределении средств иных межбюджетных трансфертов Колпашевскому городскому поселению и Саровскому сельскому поселению на исполнение решений Колпашевского городского суда Томской области"</t>
  </si>
  <si>
    <t>23.08.2012- 10.10.2012</t>
  </si>
  <si>
    <t>17.04.2012- 30.06.2012</t>
  </si>
  <si>
    <t>24.09.2012- 20.12.2012</t>
  </si>
  <si>
    <t>Решение Думы Колпашевского района от 23.04.2012 № 73 "О предоставлении иных межбюджетных трансфертов бюджетам муниципальных образований Колпашевского района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</si>
  <si>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Решение Думы Колпашевского района от 23.04.2012 № 77 "О предоставлении субсидии бюджету муниципального образования «Колпашевское городское поселение на 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ЖКХ на 2012 год"</t>
  </si>
  <si>
    <t>Постановление Администрации Колпашевского района от 22.05.2012 № 485 "О порядке использования средств субсидии из областного бюджета на приобретение в муниципальную собственность газораспределительных сетей г.Колпашево и с. Тогур Колпашевского района Томской области, 5 очередь, 2 этап"</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</si>
  <si>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</si>
  <si>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 1,2,3</t>
  </si>
  <si>
    <t>22.05.2012- 18.12.2012</t>
  </si>
  <si>
    <t>Постановление Администрации Колпашевского района от 13.06.2012 № 558 "О расходовании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</si>
  <si>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13.06.2012- 15.12.2012</t>
  </si>
  <si>
    <t>16.07.2012- 23.12.2012</t>
  </si>
  <si>
    <t>Решение Думы Колпашевского района от 16.07.2012 № 100 "О предоставлении иных межбюджетных трансфертов бюджету муниципального образования «Колпашевское городское поселение» на приобретение световых приборов для МБУ «ЦКД»</t>
  </si>
  <si>
    <t>Решение Думы Колпашевского района от 16.07.2012 № 101 "О предоставлении иных межбюджетных трансфертов бюджету муниципального образования «Инкинское сельское поселение» на приобретение запасных частей для ремонта автомобиля"</t>
  </si>
  <si>
    <t xml:space="preserve">Решение Думы Колпашевского района от 16.07.2012 № 106 "О  предоставлении иных межбюджетных трансфертов бюджету муниципального образования «Новоселовское сельское поселение» на приобретение и установку электрического котла в котельной с.Белояровка и бюджету муниципального образования «Новогоренское сельское поселение» на организацию уличного освещения в с.Новогорное"
</t>
  </si>
  <si>
    <t>Решение Думы Колпашевского района от 16.07.2012 № 107 "О предоставлении иных межбюджетных трансфертов бюджету муниципального образования «Саровское сельское поселение» на расходы, связанные с работами по замене участка тепловых сетей"</t>
  </si>
  <si>
    <t xml:space="preserve">Решение Думы Колпашевского района от 16.07.2012 № 102 "О предоставлении иных межбюджетных трансфертов бюджету муниципального образования «Копыловское сельское поселение» на проведение мероприятий к 110-летию с.Копыловка"
</t>
  </si>
  <si>
    <t>Распоряжение Администрации Колпашевского района от 23.07.2012 № 576 "О предоставлении иных межбюджетных трансфертов на организацию и проведение летней межпоселенческой спартакиады в с.Чажемто"</t>
  </si>
  <si>
    <t>Постаноление Администрации Колпашевского района от 19.06.2012 № 575 "О порядке расходования средств бюджетных ассигнований, выделенных из целевого финансового резерва Томской области для предупреждения черезвычайных ситуаций на ремонт и оборудование пожарных водоисточников и устройство противопожарных защитных полос"</t>
  </si>
  <si>
    <t xml:space="preserve">Постановление Администрации Колпашевского района от 11.07.2012 № 672 "О порядкеиспользования средств субсидии из областного бюджета на реализацию мероприятий подрограммы "Повышение энергетической эффективности котельных в Томской области" в рамках долгосрочной целевой программы "энергоснабжение и повышение энергетической эффективности на территории Томской области на 2010-2012 годы и на перспективу до 2020 года" </t>
  </si>
  <si>
    <t>23.07.2012- 10.11.2012</t>
  </si>
  <si>
    <t>19.06.2012- 15.12.2012</t>
  </si>
  <si>
    <t>11.07.2012- 18.12.2012</t>
  </si>
  <si>
    <t>1102,0502,0503</t>
  </si>
  <si>
    <t>Постановление Администрации Колпашевского района от 30.07.2012 № 730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</si>
  <si>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30.07.2012 № 731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</si>
  <si>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30.07.2012 № 736 "О порядке использования средств бюджетных ассигнований резервного фонда финансирования непредвиденных расходов Администрации Томской области Администрации Чажемтовского сельского поселения на бурение скважины для хозяйственного водоснабжения жителей с.Старо-Абрамкино"</t>
  </si>
  <si>
    <t>Постановление Администрации Колпашевского района от 30.07.2012 № 732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</si>
  <si>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Распоряжение Администрации Колпашевского района от 04.09.2012 № 674 "О распределении средств иных межбюджетных трансфертов на поощрение поселенческих команд, учавствовавших в 7-й летней межпоселенческой спартакиаде в с.Чажемто, из бюджета муниципального образования "Колпашевский район" в 2012 году"</t>
  </si>
  <si>
    <t>30.07.2012- 20.12.2012</t>
  </si>
  <si>
    <t>04.09.2012- 23.12.2012</t>
  </si>
  <si>
    <t>п. 1,2,3,5</t>
  </si>
  <si>
    <t>26.07.2012- 15.12.2012</t>
  </si>
  <si>
    <t>Решение Думы Колпашевского района от 10.09.2012 № 123 "О предоставлении иных межбюджетных трансфертов на изготовление проекта планировки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t>
  </si>
  <si>
    <t>Решение Думы Колпашевского района от 10.09.2012 № 126 "О предоставлении иных межбюджетных трансфертов бюджету муниципального образования "Саровское сельское поселение" на благоустройство поселения"</t>
  </si>
  <si>
    <t>Решение Думы Колпашевского района от 10.09.2012 № 125 "О предоставлении иных межбюджетных трансфертов бюджету муниципального образования "Инкинское сельское поселение" на капитальный ремонт муниципального жилья"</t>
  </si>
  <si>
    <t>Постановление Администрации Колпашевского района от 06.08.2012 № 762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ремонт аварийного объекта котельной  с.Чажемто"</t>
  </si>
  <si>
    <t>Постановление Администрации Колпашевского района от 06.08.2012 № 763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приобретение дизельной электрической станции в с.Копыловка"</t>
  </si>
  <si>
    <t>Постановление Администрации Колпашевского района от 06.08.2012 № 764 "О порядке расходования средств бюджетных ассигнований, выделенных из целевого финансового резерва Томской области для предупреждения чрезвычайных ситуаций  бюджету муниципального образования «Колпашевский район», на приобретение двигателя в п.Куржино"</t>
  </si>
  <si>
    <t>10.09.2012- 23.12.2012</t>
  </si>
  <si>
    <t>06.08.2012- 20.12.2012</t>
  </si>
  <si>
    <t>0503, 0801</t>
  </si>
  <si>
    <t>Постановление Администрации Колпашевского района от 15.08.2012 № 803 "О порядке расходования средств субсидии из областного бюджета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</si>
  <si>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Постановление Администрации Колпашевского района от 04.09.2012 № 885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</si>
  <si>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Постановление Администрации Колпашевского района от 10.09.2012 № 899 "О порядке использования средств бюджетных ассигнований резервного фонда финансирования непредвиденных расходов Администрации Томской области Администрации Новогоренского сельского поселения на приобретение глубинного насоса"</t>
  </si>
  <si>
    <t>Постановление Администрации Колпрашевского района от 30.08.2012 № 852 "О порядке расходования средств на подготовку генеральных планов, правил землепользования и застройки сельских поселений Колпашевского района"</t>
  </si>
  <si>
    <t>Постановление Администрации Колпашевского района от 01.10.2012 № 972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t>
  </si>
  <si>
    <t>15.08.2012- 28.12.2012</t>
  </si>
  <si>
    <t>04.09.2012- 25.12.2012</t>
  </si>
  <si>
    <t>10.09.2012- 20.12.2012</t>
  </si>
  <si>
    <t>30.08.2012- 25.12.2012</t>
  </si>
  <si>
    <t>01.10.2012- 20.12.2012</t>
  </si>
  <si>
    <t>Решение Думы Колпашевского района от 23.04.2012 № 58 "О порядке использования в 2012 году средств бюджета муниципального образования «Колпашевский район» на проведение мероприятий в рамках реализации комплексной программы социально-экономического развития муниципального образования «Колпашевский район» на 2008–2012 годы» в разделе «Сельское хозяйство»</t>
  </si>
  <si>
    <t>Распоряжение Администрации Колпашевского района от 28.09.2012 № 706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2012 году"</t>
  </si>
  <si>
    <t>Постановление Главы Колпашевского района от 25.10.2012 № 87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(Инкинский СКДЦ - 35,76 тыс. руб.)</t>
  </si>
  <si>
    <t>Постановление Главы Колпашевского района от 25.10.2012 № 88 "О порядке расходования бюджетных ассигнований за счёт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(Новосёловский СКДЦ - 24 тыс.руб.)</t>
  </si>
  <si>
    <t>п. 4,5</t>
  </si>
  <si>
    <t>28.09.2012- 15.11.2012</t>
  </si>
  <si>
    <t>25.10.2012- 25.12.2012</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</si>
  <si>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</si>
  <si>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</si>
  <si>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</si>
  <si>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Постановление Администрации Томской области от 22.01.2008 N 3а "О целевом финансовом резерве Томской области для предупреждения чрезвычайных ситуаций"</t>
  </si>
  <si>
    <t>п. 4 Положения</t>
  </si>
  <si>
    <t>22.01.2008,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</si>
  <si>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</si>
  <si>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п.п.11 п. 2</t>
  </si>
  <si>
    <t>Постановление Администрации Томской области от 22.01.2008 N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</si>
  <si>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п.п.9 п.5 Порядка</t>
  </si>
  <si>
    <t>п.п. 17 п. 2</t>
  </si>
  <si>
    <t>Федеральный закон от 21 июля 2007 г. N 185-ФЗ
"О Фонде содействия реформированию жилищно-коммунального хозяйства"</t>
  </si>
  <si>
    <t>ст.4 п.1</t>
  </si>
  <si>
    <t>21.07.2007- 31.12.2012</t>
  </si>
  <si>
    <t>п. 5</t>
  </si>
  <si>
    <t>пп 37</t>
  </si>
  <si>
    <t>13.05.2010, не утвержден</t>
  </si>
  <si>
    <t>Иные межбюджетные трансферты на оплату проектирования газовой модульной котельной "Урожай"</t>
  </si>
  <si>
    <t>Иные межбюджетные трансферты на оплату мероприятий по ремонту дизельной электростанции в связи с установкой дизельного генератора</t>
  </si>
  <si>
    <t>Иные межбюджетные трансферты на благоустройство поселения, в том числе утилизацию бытовых отходов</t>
  </si>
  <si>
    <t>Иные межбюджетные трансферты на расходы в соответствии с распоряжением АТО от 24.10.2012 № 134-ра (на приобретение материалов для ремонта жилого дома в Чажемто)</t>
  </si>
  <si>
    <t>Иные межбюджетные трансферты на расходы в соответствии с распоряжением АТО от 19.11.2012 № 148-р-в (на укрепление материально-технической базы)</t>
  </si>
  <si>
    <t>Субсидия на проведение энергетических обследований в мунципальных учреждениях Томской области, не осуществляющих приносящую доход деятельности или осуществляющих указанную деятельность, объем доходов от которой составляет менее 25% от объема бюджетных ассигнований, предоставленных муниципальным учреждениям из местного бюджета (за счет средств федерального бюджета)</t>
  </si>
  <si>
    <t>МБТ в соответствии с распоряжением АТО от 26.11.2012 № 162-р-в</t>
  </si>
  <si>
    <t>Расходы в соответствии с распоряжением АТО от 24.10.2012 № 134-р-в (на укрепление материально-технической базы)</t>
  </si>
  <si>
    <t>Реализация программ модернизации здравоохранения субъектов Российской Федерации в части укрепления материально- технической базы медецинских учреждений</t>
  </si>
  <si>
    <t>Реконструкция стадиона МАОУ ДОД "ДЮСШ им. О. Рахматулиной" в г.Колпашево Колпашевского района (за счет средств областного бюджета)</t>
  </si>
  <si>
    <t xml:space="preserve">Расходы на реализацию районной целевой программы  "Поддержка и развитие малого и среднего предпринимательства  в МО "Колпашевский район"на 2013-2018 годы" </t>
  </si>
  <si>
    <t>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</si>
  <si>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Капитальный ремонт государственного жилищного фонда субъектов Российской Федерации и муниципального  жилищного фонда</t>
  </si>
  <si>
    <t>Строительство отстойника промывочной воды для станции обезжелезивания в г.Колпашево Томской области</t>
  </si>
  <si>
    <t>Приобретение тифлофлешплееров и литературы в формате "говорящей книги"</t>
  </si>
  <si>
    <t>Оказание помощи отдельным категориям граждан из числа ветеранов Великой Отечественной  войны и вдов участников войны в ремонте жилых помещений</t>
  </si>
  <si>
    <t>Постановление Администрации Колпашевского района от 06.11.2012 № 1109 "О порядке использования средств бюджетных ассигнований резервного фонда финансирования непредвиденных расходов Администрации ТО"</t>
  </si>
  <si>
    <t>06.11.2012- 25.12.2012</t>
  </si>
  <si>
    <t>29.10.2012- 23.12.2012</t>
  </si>
  <si>
    <t>Постановление Администрации Колпашевского района от 07.11.2012 № 1110 "О порядке расходования средств бюджетных ассигнований резервного фонда финансирования непредвиденных расходов Администрации Томской области"</t>
  </si>
  <si>
    <t>07.11.2012- 15.12.2012</t>
  </si>
  <si>
    <t>Решение Думы Колпашевского района от 19.11.2012 №140 "О предоставлении иных межбюджетных трансфертов бюджету муниципального образования "Копыловское сельское поселение" на оплату мероприятий по ремонту дизельной электростанции в связи с установкой дизельного генератора"</t>
  </si>
  <si>
    <t>19.11.2012- 23.12.2012</t>
  </si>
  <si>
    <t>Решение Думы Колпашевского района от 25.11.2005 № 20 "Об утверждении Положения о звании "Почетный житель Колпашевского района" (в редакции от 29.03.2006 № 127, от 23.11.2009, от 23.01.2012 № 12, от 19.11.2012 № 141)</t>
  </si>
  <si>
    <t>Решение Думы Колпашевского района от 19.11.2012 № 143 "О предоставлении иных межбюджетных трансфертов бюджету муниципального образования "Новосёловское сельское поселение" на благоустройство поселения, в том числе утилизацию бытовых отходов"</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</si>
  <si>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19.11.2012 № 144)</t>
  </si>
  <si>
    <t>19.11.2012- 25.12.2012</t>
  </si>
  <si>
    <t>Постановление Администрации Колпашевского района от 22.11.2012 № 1161 "О порядке использования средств бюджетных ассигнований резервного фонда финансирования непредвиденных расходов Администрации Колпашевского района"</t>
  </si>
  <si>
    <t>22.11.2012- 30.12.2012</t>
  </si>
  <si>
    <t>Постановление от 28.11.2012 № 1192 "О порядке использования средств субсидии из областного бюджета на проведение энергетических обследований в муниципальных учреждениях Томской области, не осуществляющих приносящую доход деятельность или осуществляющих указанную деятельность, объём доходов от которой составляет менее 25% от объёма бюджетных ассигнований, предоставленных муниципальным учреждениям из местного бюджета" (в редакции от 06.12.2012 № 1228)</t>
  </si>
  <si>
    <t>28.11.2012- 25.12.2012</t>
  </si>
  <si>
    <t>Постановление Администрации Томской области от 24.10.2012 N 422а "О распределении субсидии из федерального бюджета бюджету Томской области на реализацию региональной программы в области энергосбережения и повышения энергетической эффективности на 2012 год"</t>
  </si>
  <si>
    <t>24.10.2012- 31.12.2012</t>
  </si>
  <si>
    <t>Расходы в соответствии с распоряжением АТО от 26.11.2012 № 161-р-в</t>
  </si>
  <si>
    <t>Постановление Администрации Колпашевского района от 10.12.2012 № 1233 "О порядке расходования средств бюджетных ассигнований резервного фонда финансирования непредвиденных расходов Администрации Томской области"</t>
  </si>
  <si>
    <t>10.12.2012- 30.12.2012</t>
  </si>
  <si>
    <t>Постановление Администрации Колпашевского района от 10.12.2012 № 1234 "О порядке использования средств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</si>
  <si>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05.12.2012 № 1223 "О порядке использования средств субсиди из областного бюджета на создание условий для управления многоквартирными домами на 2012 год"</t>
  </si>
  <si>
    <t>05.12.2012- 23.12.2002</t>
  </si>
  <si>
    <t>Решение Думы Колпашевского района от 19.12.2012 № 156 "О предоставлении иных межбюджетных трансфертов бюджету муниципального образования "Чажемтовское сельское поселение" на оплату работ по ремонту асфальтого покрытия дороги в селе Чажемто, улица Кириченко"</t>
  </si>
  <si>
    <t>19.12.2012- 27.12.2012</t>
  </si>
  <si>
    <t>Иные межбюджетные трансферты на оплату работ по ремонту асфальтового покрытия дороги в селе Чажемто, ул.Киричеко</t>
  </si>
  <si>
    <t>Решение Думы Колпашевского района от 19.12.2012 № 158 "О предоставлении иных межбюджетных трансфертов бюджету муниципального образования "Новоселовское сельское поселение" на приобретение топлива для организации теплоснабжения"</t>
  </si>
  <si>
    <t>ИМБТ в соответствии с распоряжением АТО от 05.12.2012 № 1086-р-в</t>
  </si>
  <si>
    <t>Постановление Администрации Колпашевского района от 19.12.2012 № 1289 "О порядке использования средств бюджетных ассигнований из областного бюджета на компенсацию расходов, произведённых на организацию водоснабжения жилья гражданам, проживающим на территории микрорайона "Матьянга" в г.Колпашево</t>
  </si>
  <si>
    <t>19.12.2012- 28.12.2012</t>
  </si>
  <si>
    <t>Постановление Администрации Колпашевского района от 10.12.2012 № 1236 "О порядке использования средств субсидии из бюджета на реализацию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t>
  </si>
  <si>
    <t>Расходы на реализацию ДЦП "Обеспечение жильем молодых семей в ТО на 2011-2015гг." (областной бюджет)</t>
  </si>
  <si>
    <t>2.3.6</t>
  </si>
  <si>
    <t>2.3.32.</t>
  </si>
  <si>
    <t>Расходы на осуществление государственных полномочий на проведение ремонта жилых помещений, собственниками которых являются дети-сироты и дети, оставшиеся безпопечения родителей</t>
  </si>
  <si>
    <t>2.3.31</t>
  </si>
  <si>
    <t>2.3.24.</t>
  </si>
  <si>
    <t>Расходы на осуществление отдельных государственных полномочий по организации оказания первичной медико-санитарной помощи в амбулаторно- поликлинических и больничных учреждениях, скорой медицинской помощи (за исключением санитарно- авиационной), медецинской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РФ бесплатной медицинской помощи на территории Томской области</t>
  </si>
  <si>
    <t>Субвенция на обеспечение жильем граждан, уволенных с военной службы (службы), и приравненых к ним лиц</t>
  </si>
  <si>
    <t>МБТ из резервного фонда АТО по ликвидации последствий стихийных бедствий и др.черезвычайных ситуаций (в соответствии с распоряжением АТО от 25.12.2012 № 1145-ра)</t>
  </si>
  <si>
    <t>Расходы в соответствии с распоряжением АТО от 07.12.2012 № 180-р-в (на материально - технической базы дет.сада № 9)</t>
  </si>
  <si>
    <t>Субсидия на реализацию федеральной целевой программы развития образования на 2011-2015 годы в части модернизации муниципальных систем дошкольного образования (за счет средств федерального бюджета)</t>
  </si>
  <si>
    <t>Межбюджетные трансферты на исполнение судебных решений по обеспечению жилыми помещениями детей-сирот и детей, оставшихся без попечения родителей, а так же детей из их числа, не имеющих закрепленного жилого помещения</t>
  </si>
  <si>
    <t>Постановление Администрации Колпашевского района от 11.12.2012 № 1245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образовательным учреждениям и муниципальным автономным образовательным учреждениям на проведение тахеометрической съёмки муниципальных объектов образовательных учреждений"</t>
  </si>
  <si>
    <t>11.12.2012, не установлен</t>
  </si>
  <si>
    <t>Постановление Администрации Колпашевского района от 12.12.2012 № 1255 "О порядке предоставления субсидий Томскому Региональному Общественному Благотворительному Фонду "Колпашевская церковь Вознесения" на приобретение  ограждения крыльца православного храма "Церковь Вознесения" в г.Колпашево и насосного оборудования для котельной строящейся церкви в г.Колпашево</t>
  </si>
  <si>
    <t>12.12.2012- 30.12.2012</t>
  </si>
  <si>
    <t>МБТ в соответствии с распоряжением АТО от 26.11.2012 № 161-р-в, от 10.07.2012 № 71-р-в</t>
  </si>
  <si>
    <t>Постановление от 28.11.2012 № 1192 "О порядке использования средств субсидии из областного бюджета на проведение энергетических обследований в муниципальных учреждениях Томской области, не осуществляющих приносящую доход деятельность или осуществляющих указанную деятельность, объём доходов от которой составляет менее 25% от объёма бюджетных ассигнований, предоставленных муниципальным учреждениям из местного бюджета" (в редакции от 06.12.2012 № 1228, от 24.12.2012 № 1293)</t>
  </si>
  <si>
    <t>28.11.2012- 28.12.2012</t>
  </si>
  <si>
    <t>Расходы на реализацию программы энергосбережения и повышения энергетической эффективности на период до 2020г.</t>
  </si>
  <si>
    <t>Постановление Администрации Колпашевского района от 19.11.2012 № 1147 "О расходовании средств субсидии из резервного фонда финансирования непредвиденных расходов Администрации Томской области на укрепление материально-технической базы МБУЗ "Колпашевская ЦРБ" (в редакции от 17.12.2012 № 1263)</t>
  </si>
  <si>
    <t>Постановление Администрации Колпашевского района от 17.12.2012 № 1275 "О порядке расходования средств субсидии на реализацию федеральной целевой программы развития образования на 2011- 2015 годы в части модернизации муниципальных систем дошкольного образования</t>
  </si>
  <si>
    <t>17.12.2012- 31.12.2012</t>
  </si>
  <si>
    <t>Постановление Администрации Колпашевского района от 17.12.2012 № 1276 "О порядке расходования средств бюджетных ассигнований резервного фонда финансирования непредвиденных расходов Администрации Томской области"</t>
  </si>
  <si>
    <t>17.12.2012 -30.12.2012</t>
  </si>
  <si>
    <t>01.11.2012- 31.12.2012</t>
  </si>
  <si>
    <t>Постановление Администрации Томской области от 23.03.2011 N 77а "Об утверждении региональной Программы модернизации здравоохранения Томской области 
на 2011-2012 годы"</t>
  </si>
  <si>
    <t>23.03.2011- 31.12.2012</t>
  </si>
  <si>
    <t>Решение Думы Колпашевского района от 16.07.2012 № 94 "О предоставлении иных межбюджетных трансфертов бюджетам муниципальных образований Колпашевского района на проведение муниципальных выборов" (в редакции от 19.12.2012 № 150)</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</si>
  <si>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</si>
  <si>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t>
  </si>
  <si>
    <t>Решение Думы Колпашевского района от 14.02.2011 № 5 "О мерах по реализации Закона Томской области от 17.12.2007 №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также дополнительного образования в рамках основных общеобразовательных программ в муниципальных общеобразовательных  учреждениях" (в редакции от 25.11.2011 № 140, от 16.07.2012 № 98, от 19.12.2012 № 154)</t>
  </si>
  <si>
    <t>Решение Думы Колпашевского района от 13.02.2012 № 26 "О предоставлении ИМБТ  на изготовление проекта планировки и топографической съемки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 (в редакции от 19.12.2012 № 155)</t>
  </si>
  <si>
    <t>Решение Думы Колпашевского района от 29.10.2012 № 135 "О предоставлении ИМБТ бюджету МО "Колпашевское городское поселение" на оплату проектирования газовой модульной котельной "Урожай" (в редакции от 19.12.2012 № 157)</t>
  </si>
  <si>
    <t>Иные межбюджетные трансферты на приобретение топлива для организации теплоснабжения</t>
  </si>
  <si>
    <t>Решение Думы Колпашевского района от 13.02.2012 № 27 "О предоставлении ИМБТ бюджету МО "Колпашевское городское поселение" на организацию деятельности народного академического хора при  МБУ "ЦКД" (в редакции от 23.04.2012 № 65, от 19.12.2012 № 159)</t>
  </si>
  <si>
    <t>Постановление Администрации Колпашевского района от 17.12.2012 № 1277 "О порядке расходования средств ИМБТ на укрепление материально-технической базы учреждений здравоохранения в рамках региональной Программы модернизации здравоохранения Томской области на 2011- 2012 годы" (в редакции от 24.12.2012 № 1292)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</si>
  <si>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</si>
  <si>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</si>
  <si>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</si>
  <si>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</si>
  <si>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</si>
  <si>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</si>
  <si>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</si>
  <si>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</si>
  <si>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</si>
  <si>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</si>
  <si>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</si>
  <si>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</si>
  <si>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</si>
  <si>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</si>
  <si>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</si>
  <si>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</si>
  <si>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</si>
  <si>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</si>
  <si>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</si>
  <si>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</si>
  <si>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</si>
  <si>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</si>
  <si>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</si>
  <si>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</si>
  <si>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ИМБТ на приобретение в муниципальную собственность газораспределительных сетей г.Колпашево и с.Тогур Колпашевского района Томской области, 5очередь, 2 этап (Колпашевское городское поселение)</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</si>
  <si>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</si>
  <si>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</si>
  <si>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</si>
  <si>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 18 "января 2013г.</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</si>
  <si>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</si>
  <si>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</si>
  <si>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</si>
  <si>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</si>
  <si>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Реестр расходных обязательств муниципального образования "Колпашевский район" на 2012 г. (уточненный) и плановый период 2013-2015 года.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</si>
</sst>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s>
  <fonts count="60">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sz val="10"/>
      <name val="Times New Roman"/>
      <family val="1"/>
    </font>
    <font>
      <u val="single"/>
      <sz val="10"/>
      <name val="Times New Roman CYR"/>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28">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0" xfId="53" applyFont="1" applyFill="1">
      <alignment/>
      <protection/>
    </xf>
    <xf numFmtId="0" fontId="4" fillId="0" borderId="0" xfId="53" applyFont="1" applyFill="1" applyAlignment="1">
      <alignment/>
      <protection/>
    </xf>
    <xf numFmtId="0" fontId="5" fillId="0" borderId="0" xfId="53" applyFont="1" applyFill="1" applyAlignment="1">
      <alignment/>
      <protection/>
    </xf>
    <xf numFmtId="0" fontId="6"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shrinkToFit="1"/>
      <protection locked="0"/>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shrinkToFit="1"/>
      <protection locked="0"/>
    </xf>
    <xf numFmtId="0" fontId="11" fillId="0" borderId="16" xfId="0" applyNumberFormat="1" applyFont="1" applyFill="1" applyBorder="1" applyAlignment="1" applyProtection="1">
      <alignment horizontal="center" vertical="center" wrapText="1" shrinkToFit="1"/>
      <protection locked="0"/>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7"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center" wrapText="1" shrinkToFit="1"/>
      <protection locked="0"/>
    </xf>
    <xf numFmtId="164" fontId="5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5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57" fillId="0" borderId="13" xfId="0" applyNumberFormat="1" applyFont="1" applyFill="1" applyBorder="1" applyAlignment="1" applyProtection="1">
      <alignment horizontal="right" vertical="center" wrapText="1" shrinkToFit="1"/>
      <protection locked="0"/>
    </xf>
    <xf numFmtId="164" fontId="59"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0" fontId="11" fillId="0" borderId="14" xfId="0" applyNumberFormat="1" applyFont="1" applyFill="1" applyBorder="1" applyAlignment="1" applyProtection="1">
      <alignment horizontal="left" vertical="center" wrapText="1"/>
      <protection/>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lignment horizontal="center" vertical="center"/>
    </xf>
    <xf numFmtId="0" fontId="5" fillId="0" borderId="13" xfId="0" applyNumberFormat="1" applyFont="1" applyFill="1" applyBorder="1" applyAlignment="1" applyProtection="1">
      <alignment horizontal="center" vertical="center" wrapText="1"/>
      <protection/>
    </xf>
    <xf numFmtId="164" fontId="58"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center" vertical="center" wrapText="1" shrinkToFit="1"/>
      <protection locked="0"/>
    </xf>
    <xf numFmtId="0" fontId="11" fillId="0" borderId="18" xfId="0" applyNumberFormat="1" applyFont="1" applyFill="1" applyBorder="1" applyAlignment="1" applyProtection="1">
      <alignment horizontal="center" vertical="center" wrapText="1" shrinkToFit="1"/>
      <protection locked="0"/>
    </xf>
    <xf numFmtId="0" fontId="15"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lignment horizontal="center" vertical="center" wrapText="1" shrinkToFit="1"/>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164" fontId="58" fillId="0" borderId="11" xfId="0" applyNumberFormat="1" applyFont="1" applyFill="1" applyBorder="1" applyAlignment="1" applyProtection="1">
      <alignment horizontal="right" vertical="center" wrapText="1" shrinkToFit="1"/>
      <protection locked="0"/>
    </xf>
    <xf numFmtId="164" fontId="58" fillId="0" borderId="12" xfId="0" applyNumberFormat="1" applyFont="1" applyFill="1" applyBorder="1" applyAlignment="1" applyProtection="1">
      <alignment horizontal="right" vertical="center" wrapText="1" shrinkToFit="1"/>
      <protection locked="0"/>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11" fillId="0" borderId="12"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shrinkToFit="1"/>
      <protection locked="0"/>
    </xf>
    <xf numFmtId="0" fontId="11" fillId="0" borderId="18"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protection/>
    </xf>
    <xf numFmtId="49" fontId="14"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shrinkToFit="1"/>
      <protection locked="0"/>
    </xf>
    <xf numFmtId="49" fontId="12"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11" fillId="0" borderId="20"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4" fillId="0" borderId="0" xfId="53" applyFont="1" applyFill="1">
      <alignment/>
      <protection/>
    </xf>
    <xf numFmtId="49" fontId="13"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4" fillId="0" borderId="0" xfId="53" applyFont="1" applyFill="1" applyAlignment="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16" fontId="5" fillId="0" borderId="11" xfId="0" applyNumberFormat="1" applyFont="1" applyFill="1" applyBorder="1" applyAlignment="1" applyProtection="1">
      <alignment horizontal="center" vertical="center" wrapText="1"/>
      <protection/>
    </xf>
    <xf numFmtId="0" fontId="13" fillId="0" borderId="10" xfId="0" applyFont="1" applyBorder="1" applyAlignment="1">
      <alignment horizontal="center" vertical="center" wrapText="1"/>
    </xf>
    <xf numFmtId="49" fontId="13" fillId="0" borderId="21" xfId="0" applyNumberFormat="1" applyFont="1" applyBorder="1" applyAlignment="1">
      <alignment horizontal="center" vertical="center" wrapText="1"/>
    </xf>
    <xf numFmtId="0" fontId="5" fillId="0" borderId="21" xfId="0" applyNumberFormat="1" applyFont="1" applyFill="1" applyBorder="1" applyAlignment="1" applyProtection="1">
      <alignment horizontal="center" vertical="center" wrapText="1"/>
      <protection/>
    </xf>
    <xf numFmtId="49" fontId="13" fillId="0" borderId="21" xfId="0" applyNumberFormat="1" applyFont="1" applyFill="1" applyBorder="1" applyAlignment="1" applyProtection="1">
      <alignment horizontal="center" vertical="center" wrapText="1"/>
      <protection/>
    </xf>
    <xf numFmtId="49" fontId="13"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top" wrapText="1" shrinkToFit="1"/>
      <protection locked="0"/>
    </xf>
    <xf numFmtId="164" fontId="7" fillId="0" borderId="12" xfId="0" applyNumberFormat="1" applyFont="1" applyFill="1" applyBorder="1" applyAlignment="1" applyProtection="1">
      <alignment vertical="top"/>
      <protection/>
    </xf>
    <xf numFmtId="0" fontId="13" fillId="0" borderId="13" xfId="0" applyNumberFormat="1" applyFont="1" applyFill="1" applyBorder="1" applyAlignment="1" applyProtection="1">
      <alignment horizontal="center" vertical="center" wrapText="1"/>
      <protection/>
    </xf>
    <xf numFmtId="164" fontId="7" fillId="0" borderId="13" xfId="0" applyNumberFormat="1" applyFont="1" applyFill="1" applyBorder="1" applyAlignment="1" applyProtection="1">
      <alignment horizontal="right" vertical="center"/>
      <protection/>
    </xf>
    <xf numFmtId="49" fontId="13" fillId="0" borderId="2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center"/>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wrapText="1" shrinkToFit="1"/>
      <protection locked="0"/>
    </xf>
    <xf numFmtId="164" fontId="7" fillId="0" borderId="10" xfId="0" applyNumberFormat="1" applyFont="1" applyFill="1" applyBorder="1" applyAlignment="1" applyProtection="1">
      <alignment vertical="center"/>
      <protection/>
    </xf>
    <xf numFmtId="0" fontId="11" fillId="0" borderId="13" xfId="0" applyNumberFormat="1" applyFont="1" applyFill="1" applyBorder="1" applyAlignment="1" applyProtection="1">
      <alignment horizontal="center" vertical="center" wrapText="1"/>
      <protection/>
    </xf>
    <xf numFmtId="49" fontId="14" fillId="0" borderId="13"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0" fontId="0" fillId="0" borderId="13" xfId="0" applyBorder="1" applyAlignment="1">
      <alignment/>
    </xf>
    <xf numFmtId="0" fontId="8" fillId="0" borderId="25" xfId="0" applyNumberFormat="1" applyFont="1" applyFill="1" applyBorder="1" applyAlignment="1" applyProtection="1">
      <alignment horizontal="left" vertical="center" wrapText="1"/>
      <protection/>
    </xf>
    <xf numFmtId="0" fontId="8" fillId="0" borderId="26"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0" fontId="17" fillId="0" borderId="25" xfId="0" applyNumberFormat="1" applyFont="1" applyFill="1" applyBorder="1" applyAlignment="1" applyProtection="1">
      <alignment horizontal="left" vertical="center" wrapText="1"/>
      <protection/>
    </xf>
    <xf numFmtId="0" fontId="17" fillId="0" borderId="26"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left" vertical="center" wrapText="1"/>
      <protection/>
    </xf>
    <xf numFmtId="164" fontId="7" fillId="0" borderId="10" xfId="0"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164" fontId="7" fillId="0" borderId="10"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49" fontId="12" fillId="0" borderId="11" xfId="0" applyNumberFormat="1" applyFont="1" applyFill="1" applyBorder="1" applyAlignment="1" applyProtection="1">
      <alignment horizontal="center" vertical="center" wrapText="1" shrinkToFit="1"/>
      <protection locked="0"/>
    </xf>
    <xf numFmtId="49" fontId="12" fillId="0" borderId="13" xfId="0" applyNumberFormat="1" applyFont="1" applyFill="1" applyBorder="1" applyAlignment="1" applyProtection="1">
      <alignment horizontal="center" vertical="center" wrapText="1" shrinkToFit="1"/>
      <protection locked="0"/>
    </xf>
    <xf numFmtId="49" fontId="12"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shrinkToFit="1"/>
      <protection locked="0"/>
    </xf>
    <xf numFmtId="0" fontId="11" fillId="0" borderId="27" xfId="0" applyNumberFormat="1" applyFont="1" applyFill="1" applyBorder="1" applyAlignment="1" applyProtection="1">
      <alignment horizontal="center" vertical="center" wrapText="1" shrinkToFit="1"/>
      <protection locked="0"/>
    </xf>
    <xf numFmtId="0" fontId="11" fillId="0" borderId="28"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164" fontId="7" fillId="0" borderId="17" xfId="0" applyNumberFormat="1" applyFont="1" applyFill="1" applyBorder="1" applyAlignment="1" applyProtection="1">
      <alignment horizontal="center" vertical="center" wrapText="1" shrinkToFit="1"/>
      <protection locked="0"/>
    </xf>
    <xf numFmtId="164" fontId="7" fillId="0" borderId="18" xfId="0" applyNumberFormat="1" applyFont="1" applyFill="1" applyBorder="1" applyAlignment="1" applyProtection="1">
      <alignment horizontal="center" vertical="center" wrapText="1" shrinkToFit="1"/>
      <protection locked="0"/>
    </xf>
    <xf numFmtId="164" fontId="7" fillId="0" borderId="15"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right" vertical="top"/>
      <protection/>
    </xf>
    <xf numFmtId="49" fontId="13"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8" fillId="0" borderId="19" xfId="0" applyNumberFormat="1" applyFont="1" applyFill="1" applyBorder="1" applyAlignment="1" applyProtection="1">
      <alignment horizontal="left" vertical="center" wrapText="1"/>
      <protection/>
    </xf>
    <xf numFmtId="0" fontId="8" fillId="0" borderId="29"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0" fillId="0" borderId="26" xfId="0" applyBorder="1" applyAlignment="1">
      <alignment horizontal="left" vertical="center" wrapText="1"/>
    </xf>
    <xf numFmtId="0" fontId="0" fillId="0" borderId="21" xfId="0"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30" xfId="0" applyNumberFormat="1"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center" vertical="center" wrapText="1" shrinkToFit="1"/>
      <protection locked="0"/>
    </xf>
    <xf numFmtId="14" fontId="5" fillId="0" borderId="10"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164" fontId="7" fillId="0" borderId="17" xfId="0" applyNumberFormat="1" applyFont="1" applyFill="1" applyBorder="1" applyAlignment="1" applyProtection="1">
      <alignment horizontal="right" vertical="center" wrapText="1" shrinkToFit="1"/>
      <protection locked="0"/>
    </xf>
    <xf numFmtId="164" fontId="7" fillId="0" borderId="18" xfId="0" applyNumberFormat="1" applyFont="1" applyFill="1" applyBorder="1" applyAlignment="1" applyProtection="1">
      <alignment horizontal="right" vertical="center" wrapText="1" shrinkToFit="1"/>
      <protection locked="0"/>
    </xf>
    <xf numFmtId="164" fontId="7" fillId="0" borderId="15" xfId="0" applyNumberFormat="1" applyFont="1" applyFill="1" applyBorder="1" applyAlignment="1" applyProtection="1">
      <alignment horizontal="right" vertical="center" wrapText="1" shrinkToFit="1"/>
      <protection locked="0"/>
    </xf>
    <xf numFmtId="164" fontId="7" fillId="0" borderId="32" xfId="0" applyNumberFormat="1" applyFont="1" applyFill="1" applyBorder="1" applyAlignment="1" applyProtection="1">
      <alignment horizontal="center" vertical="center"/>
      <protection/>
    </xf>
    <xf numFmtId="164" fontId="7" fillId="0" borderId="33" xfId="0" applyNumberFormat="1" applyFont="1" applyFill="1" applyBorder="1" applyAlignment="1" applyProtection="1">
      <alignment horizontal="center" vertical="center"/>
      <protection/>
    </xf>
    <xf numFmtId="164" fontId="7" fillId="0" borderId="34"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shrinkToFit="1"/>
      <protection locked="0"/>
    </xf>
    <xf numFmtId="0" fontId="5" fillId="0" borderId="35" xfId="0" applyNumberFormat="1" applyFont="1" applyFill="1" applyBorder="1" applyAlignment="1" applyProtection="1">
      <alignment horizontal="center" vertical="center" wrapText="1" shrinkToFit="1"/>
      <protection locked="0"/>
    </xf>
    <xf numFmtId="0" fontId="5" fillId="0" borderId="31" xfId="0" applyNumberFormat="1" applyFont="1" applyFill="1" applyBorder="1" applyAlignment="1" applyProtection="1">
      <alignment horizontal="center"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11" fillId="0" borderId="36" xfId="0" applyNumberFormat="1" applyFont="1" applyFill="1" applyBorder="1" applyAlignment="1" applyProtection="1">
      <alignment horizontal="center" vertical="center" wrapText="1" shrinkToFit="1"/>
      <protection locked="0"/>
    </xf>
    <xf numFmtId="0" fontId="11" fillId="0" borderId="37"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3"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164" fontId="7" fillId="0" borderId="11" xfId="0" applyNumberFormat="1" applyFont="1" applyFill="1" applyBorder="1" applyAlignment="1" applyProtection="1">
      <alignment horizontal="center" vertical="center"/>
      <protection/>
    </xf>
    <xf numFmtId="164" fontId="7" fillId="0" borderId="13" xfId="0" applyNumberFormat="1" applyFont="1" applyFill="1" applyBorder="1" applyAlignment="1" applyProtection="1">
      <alignment horizontal="center" vertical="center"/>
      <protection/>
    </xf>
    <xf numFmtId="164" fontId="7" fillId="0" borderId="12" xfId="0" applyNumberFormat="1" applyFont="1" applyFill="1" applyBorder="1" applyAlignment="1" applyProtection="1">
      <alignment horizontal="center" vertical="center"/>
      <protection/>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164" fontId="7" fillId="0" borderId="13"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wrapText="1" shrinkToFit="1"/>
      <protection locked="0"/>
    </xf>
    <xf numFmtId="0" fontId="0" fillId="0" borderId="0" xfId="0" applyAlignment="1">
      <alignment/>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49" fontId="13" fillId="0" borderId="19" xfId="0" applyNumberFormat="1" applyFont="1" applyFill="1" applyBorder="1" applyAlignment="1" applyProtection="1">
      <alignment horizontal="center" vertical="center" wrapText="1"/>
      <protection/>
    </xf>
    <xf numFmtId="49" fontId="13" fillId="0" borderId="38"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shrinkToFit="1"/>
      <protection locked="0"/>
    </xf>
    <xf numFmtId="49" fontId="5" fillId="0" borderId="11" xfId="0" applyNumberFormat="1" applyFont="1" applyFill="1" applyBorder="1" applyAlignment="1" applyProtection="1">
      <alignment horizontal="center" vertical="center" wrapText="1" shrinkToFit="1"/>
      <protection locked="0"/>
    </xf>
    <xf numFmtId="49" fontId="5" fillId="0" borderId="13" xfId="0" applyNumberFormat="1" applyFont="1" applyFill="1" applyBorder="1" applyAlignment="1" applyProtection="1">
      <alignment horizontal="center" vertical="center" wrapText="1" shrinkToFit="1"/>
      <protection locked="0"/>
    </xf>
    <xf numFmtId="49" fontId="5" fillId="0" borderId="12" xfId="0" applyNumberFormat="1" applyFont="1" applyFill="1" applyBorder="1" applyAlignment="1" applyProtection="1">
      <alignment horizontal="center" vertical="center" wrapText="1" shrinkToFit="1"/>
      <protection locked="0"/>
    </xf>
    <xf numFmtId="0" fontId="39" fillId="0" borderId="12" xfId="0" applyFont="1" applyFill="1" applyBorder="1" applyAlignment="1">
      <alignment horizontal="center" vertical="center"/>
    </xf>
    <xf numFmtId="49" fontId="5" fillId="0" borderId="11" xfId="0" applyNumberFormat="1" applyFont="1" applyFill="1" applyBorder="1" applyAlignment="1" applyProtection="1">
      <alignment horizontal="center" vertical="center" wrapText="1" shrinkToFit="1"/>
      <protection locked="0"/>
    </xf>
    <xf numFmtId="49" fontId="5" fillId="0" borderId="12" xfId="0" applyNumberFormat="1" applyFont="1" applyFill="1" applyBorder="1" applyAlignment="1" applyProtection="1">
      <alignment horizontal="center" vertical="center" wrapText="1" shrinkToFit="1"/>
      <protection locked="0"/>
    </xf>
    <xf numFmtId="0" fontId="8" fillId="0" borderId="0" xfId="53" applyFont="1" applyFill="1" applyAlignment="1">
      <alignment horizontal="center" vertical="center"/>
      <protection/>
    </xf>
    <xf numFmtId="0" fontId="5" fillId="0" borderId="10"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5" fillId="0" borderId="12" xfId="53" applyFont="1" applyFill="1" applyBorder="1" applyAlignment="1">
      <alignment horizontal="center" vertical="center" wrapText="1"/>
      <protection/>
    </xf>
    <xf numFmtId="0" fontId="11"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5"/>
  <sheetViews>
    <sheetView tabSelected="1" zoomScalePageLayoutView="0" workbookViewId="0" topLeftCell="A1">
      <pane xSplit="4" ySplit="2" topLeftCell="H498" activePane="bottomRight" state="frozen"/>
      <selection pane="topLeft" activeCell="A1" sqref="A1"/>
      <selection pane="topRight" activeCell="E1" sqref="E1"/>
      <selection pane="bottomLeft" activeCell="A3" sqref="A3"/>
      <selection pane="bottomRight" activeCell="K2" sqref="K2:M2"/>
    </sheetView>
  </sheetViews>
  <sheetFormatPr defaultColWidth="9.00390625" defaultRowHeight="12.75" outlineLevelRow="1" outlineLevelCol="1"/>
  <cols>
    <col min="1" max="1" width="3.75390625" style="9" customWidth="1"/>
    <col min="2" max="2" width="30.125" style="9" customWidth="1"/>
    <col min="3" max="3" width="0.12890625" style="9" hidden="1" customWidth="1"/>
    <col min="4" max="4" width="3.125" style="9" customWidth="1"/>
    <col min="5" max="5" width="21.875" style="9" customWidth="1"/>
    <col min="6" max="6" width="5.625" style="9" customWidth="1"/>
    <col min="7" max="7" width="9.25390625" style="9" customWidth="1"/>
    <col min="8" max="8" width="27.75390625" style="9" customWidth="1"/>
    <col min="9" max="9" width="5.625" style="9" customWidth="1"/>
    <col min="10" max="10" width="9.00390625" style="9" customWidth="1"/>
    <col min="11" max="11" width="40.00390625" style="9" customWidth="1"/>
    <col min="12" max="12" width="6.00390625" style="9" customWidth="1" outlineLevel="1"/>
    <col min="13" max="14" width="8.875" style="9" customWidth="1" outlineLevel="1"/>
    <col min="15" max="15" width="7.75390625" style="9" customWidth="1" outlineLevel="1"/>
    <col min="16" max="16" width="8.00390625" style="9" customWidth="1"/>
    <col min="17" max="17" width="7.625" style="9" customWidth="1"/>
    <col min="18" max="18" width="7.75390625" style="9" customWidth="1"/>
    <col min="19" max="19" width="8.375" style="1" customWidth="1"/>
    <col min="20" max="16384" width="9.125" style="1" customWidth="1"/>
  </cols>
  <sheetData>
    <row r="1" spans="1:18" ht="37.5" customHeight="1">
      <c r="A1" s="267" t="s">
        <v>1621</v>
      </c>
      <c r="B1" s="267"/>
      <c r="C1" s="267"/>
      <c r="D1" s="267"/>
      <c r="E1" s="267"/>
      <c r="F1" s="267"/>
      <c r="G1" s="267"/>
      <c r="H1" s="267"/>
      <c r="I1" s="267"/>
      <c r="J1" s="267"/>
      <c r="K1" s="267"/>
      <c r="L1" s="267"/>
      <c r="M1" s="267"/>
      <c r="N1" s="267"/>
      <c r="O1" s="267"/>
      <c r="P1" s="267"/>
      <c r="Q1" s="267"/>
      <c r="R1" s="267"/>
    </row>
    <row r="2" spans="1:19" s="2" customFormat="1" ht="42" customHeight="1">
      <c r="A2" s="263" t="s">
        <v>214</v>
      </c>
      <c r="B2" s="263"/>
      <c r="C2" s="26"/>
      <c r="D2" s="263" t="s">
        <v>152</v>
      </c>
      <c r="E2" s="263" t="s">
        <v>249</v>
      </c>
      <c r="F2" s="263"/>
      <c r="G2" s="263"/>
      <c r="H2" s="263" t="s">
        <v>250</v>
      </c>
      <c r="I2" s="263"/>
      <c r="J2" s="263"/>
      <c r="K2" s="263" t="s">
        <v>131</v>
      </c>
      <c r="L2" s="263"/>
      <c r="M2" s="263"/>
      <c r="N2" s="263" t="s">
        <v>802</v>
      </c>
      <c r="O2" s="263"/>
      <c r="P2" s="263" t="s">
        <v>803</v>
      </c>
      <c r="Q2" s="300" t="s">
        <v>132</v>
      </c>
      <c r="R2" s="301"/>
      <c r="S2" s="302"/>
    </row>
    <row r="3" spans="1:19" s="2" customFormat="1" ht="92.25" customHeight="1">
      <c r="A3" s="263"/>
      <c r="B3" s="263"/>
      <c r="C3" s="26"/>
      <c r="D3" s="263"/>
      <c r="E3" s="14" t="s">
        <v>133</v>
      </c>
      <c r="F3" s="14" t="s">
        <v>229</v>
      </c>
      <c r="G3" s="14" t="s">
        <v>230</v>
      </c>
      <c r="H3" s="14" t="s">
        <v>133</v>
      </c>
      <c r="I3" s="14" t="s">
        <v>229</v>
      </c>
      <c r="J3" s="14" t="s">
        <v>230</v>
      </c>
      <c r="K3" s="14" t="s">
        <v>133</v>
      </c>
      <c r="L3" s="14" t="s">
        <v>229</v>
      </c>
      <c r="M3" s="14" t="s">
        <v>342</v>
      </c>
      <c r="N3" s="14" t="s">
        <v>231</v>
      </c>
      <c r="O3" s="14" t="s">
        <v>226</v>
      </c>
      <c r="P3" s="263"/>
      <c r="Q3" s="14" t="s">
        <v>804</v>
      </c>
      <c r="R3" s="14" t="s">
        <v>805</v>
      </c>
      <c r="S3" s="14" t="s">
        <v>939</v>
      </c>
    </row>
    <row r="4" spans="1:19" s="2" customFormat="1" ht="12.75" customHeight="1">
      <c r="A4" s="14" t="s">
        <v>227</v>
      </c>
      <c r="B4" s="14"/>
      <c r="C4" s="14" t="s">
        <v>228</v>
      </c>
      <c r="D4" s="14" t="s">
        <v>99</v>
      </c>
      <c r="E4" s="14" t="s">
        <v>100</v>
      </c>
      <c r="F4" s="14" t="s">
        <v>101</v>
      </c>
      <c r="G4" s="14" t="s">
        <v>102</v>
      </c>
      <c r="H4" s="14" t="s">
        <v>103</v>
      </c>
      <c r="I4" s="14" t="s">
        <v>104</v>
      </c>
      <c r="J4" s="14" t="s">
        <v>105</v>
      </c>
      <c r="K4" s="14" t="s">
        <v>106</v>
      </c>
      <c r="L4" s="14" t="s">
        <v>107</v>
      </c>
      <c r="M4" s="14" t="s">
        <v>108</v>
      </c>
      <c r="N4" s="14" t="s">
        <v>81</v>
      </c>
      <c r="O4" s="14" t="s">
        <v>82</v>
      </c>
      <c r="P4" s="14" t="s">
        <v>83</v>
      </c>
      <c r="Q4" s="14" t="s">
        <v>40</v>
      </c>
      <c r="R4" s="27" t="s">
        <v>343</v>
      </c>
      <c r="S4" s="27" t="s">
        <v>938</v>
      </c>
    </row>
    <row r="5" spans="1:19" s="2" customFormat="1" ht="12.75" customHeight="1">
      <c r="A5" s="38" t="s">
        <v>276</v>
      </c>
      <c r="B5" s="174" t="s">
        <v>277</v>
      </c>
      <c r="C5" s="175"/>
      <c r="D5" s="175"/>
      <c r="E5" s="175"/>
      <c r="F5" s="175"/>
      <c r="G5" s="175"/>
      <c r="H5" s="175"/>
      <c r="I5" s="175"/>
      <c r="J5" s="175"/>
      <c r="K5" s="175"/>
      <c r="L5" s="175"/>
      <c r="M5" s="176"/>
      <c r="N5" s="17"/>
      <c r="O5" s="17"/>
      <c r="P5" s="17"/>
      <c r="Q5" s="17"/>
      <c r="R5" s="16"/>
      <c r="S5" s="16"/>
    </row>
    <row r="6" spans="1:19" s="2" customFormat="1" ht="11.25" customHeight="1">
      <c r="A6" s="38" t="s">
        <v>1</v>
      </c>
      <c r="B6" s="174" t="s">
        <v>300</v>
      </c>
      <c r="C6" s="175"/>
      <c r="D6" s="175"/>
      <c r="E6" s="175"/>
      <c r="F6" s="175"/>
      <c r="G6" s="175"/>
      <c r="H6" s="175"/>
      <c r="I6" s="175"/>
      <c r="J6" s="175"/>
      <c r="K6" s="175"/>
      <c r="L6" s="175"/>
      <c r="M6" s="176"/>
      <c r="N6" s="50">
        <f aca="true" t="shared" si="0" ref="N6:S6">N7+N18+N23+N28+N29+N36+N41+N44+N49+N58+N73+N149+N179+N185+N191+N196+N198+N202+N200+N208+N213+N220+N235+N240</f>
        <v>512630.7754200001</v>
      </c>
      <c r="O6" s="50">
        <f t="shared" si="0"/>
        <v>501434.64751000004</v>
      </c>
      <c r="P6" s="50">
        <f t="shared" si="0"/>
        <v>482194.0144000001</v>
      </c>
      <c r="Q6" s="50">
        <f t="shared" si="0"/>
        <v>431095.2</v>
      </c>
      <c r="R6" s="50">
        <f t="shared" si="0"/>
        <v>438559.90000000014</v>
      </c>
      <c r="S6" s="50">
        <f t="shared" si="0"/>
        <v>476173.9</v>
      </c>
    </row>
    <row r="7" spans="1:19" s="2" customFormat="1" ht="12" customHeight="1">
      <c r="A7" s="38" t="s">
        <v>31</v>
      </c>
      <c r="B7" s="174" t="s">
        <v>232</v>
      </c>
      <c r="C7" s="175"/>
      <c r="D7" s="175"/>
      <c r="E7" s="175"/>
      <c r="F7" s="175"/>
      <c r="G7" s="175"/>
      <c r="H7" s="175"/>
      <c r="I7" s="175"/>
      <c r="J7" s="175"/>
      <c r="K7" s="175"/>
      <c r="L7" s="175"/>
      <c r="M7" s="176"/>
      <c r="N7" s="50">
        <f aca="true" t="shared" si="1" ref="N7:S7">SUM(N8:N17)</f>
        <v>56403.80502000001</v>
      </c>
      <c r="O7" s="50">
        <f t="shared" si="1"/>
        <v>55090.54967</v>
      </c>
      <c r="P7" s="50">
        <f t="shared" si="1"/>
        <v>57973.613240000006</v>
      </c>
      <c r="Q7" s="50">
        <f t="shared" si="1"/>
        <v>88148.80000000002</v>
      </c>
      <c r="R7" s="50">
        <f t="shared" si="1"/>
        <v>96270.9</v>
      </c>
      <c r="S7" s="50">
        <f t="shared" si="1"/>
        <v>98530.5</v>
      </c>
    </row>
    <row r="8" spans="1:19" s="3" customFormat="1" ht="61.5" customHeight="1">
      <c r="A8" s="39"/>
      <c r="B8" s="12" t="s">
        <v>293</v>
      </c>
      <c r="C8" s="12"/>
      <c r="D8" s="314" t="s">
        <v>294</v>
      </c>
      <c r="E8" s="7" t="s">
        <v>34</v>
      </c>
      <c r="F8" s="7" t="s">
        <v>1135</v>
      </c>
      <c r="G8" s="10" t="s">
        <v>1117</v>
      </c>
      <c r="H8" s="7"/>
      <c r="I8" s="7"/>
      <c r="J8" s="7"/>
      <c r="K8" s="7" t="s">
        <v>887</v>
      </c>
      <c r="L8" s="7"/>
      <c r="M8" s="7"/>
      <c r="N8" s="51">
        <f>(1700267.81+127978.94)/1000</f>
        <v>1828.24675</v>
      </c>
      <c r="O8" s="51">
        <f>1817155.95/1000</f>
        <v>1817.1559499999998</v>
      </c>
      <c r="P8" s="51">
        <v>2105.1</v>
      </c>
      <c r="Q8" s="51">
        <v>2450</v>
      </c>
      <c r="R8" s="52">
        <v>2461.4</v>
      </c>
      <c r="S8" s="52">
        <v>2473</v>
      </c>
    </row>
    <row r="9" spans="1:19" s="3" customFormat="1" ht="24" customHeight="1">
      <c r="A9" s="227"/>
      <c r="B9" s="235" t="s">
        <v>198</v>
      </c>
      <c r="C9" s="12"/>
      <c r="D9" s="315" t="s">
        <v>122</v>
      </c>
      <c r="E9" s="215" t="s">
        <v>1111</v>
      </c>
      <c r="F9" s="215" t="s">
        <v>1112</v>
      </c>
      <c r="G9" s="228" t="s">
        <v>1113</v>
      </c>
      <c r="H9" s="215" t="s">
        <v>248</v>
      </c>
      <c r="I9" s="215" t="s">
        <v>246</v>
      </c>
      <c r="J9" s="215" t="s">
        <v>124</v>
      </c>
      <c r="K9" s="215" t="s">
        <v>72</v>
      </c>
      <c r="L9" s="215" t="s">
        <v>24</v>
      </c>
      <c r="M9" s="215" t="s">
        <v>25</v>
      </c>
      <c r="N9" s="53">
        <f>1864072.12/1000</f>
        <v>1864.07212</v>
      </c>
      <c r="O9" s="53">
        <f>1828271.39/1000</f>
        <v>1828.2713899999999</v>
      </c>
      <c r="P9" s="53">
        <v>1676.4</v>
      </c>
      <c r="Q9" s="185">
        <v>48789.8</v>
      </c>
      <c r="R9" s="188">
        <v>49553.3</v>
      </c>
      <c r="S9" s="188">
        <v>50276.7</v>
      </c>
    </row>
    <row r="10" spans="1:19" s="3" customFormat="1" ht="24" customHeight="1">
      <c r="A10" s="183"/>
      <c r="B10" s="268"/>
      <c r="C10" s="12"/>
      <c r="D10" s="316" t="s">
        <v>199</v>
      </c>
      <c r="E10" s="216"/>
      <c r="F10" s="216"/>
      <c r="G10" s="229"/>
      <c r="H10" s="216"/>
      <c r="I10" s="216"/>
      <c r="J10" s="216"/>
      <c r="K10" s="216"/>
      <c r="L10" s="216"/>
      <c r="M10" s="216"/>
      <c r="N10" s="186">
        <f>38098529/1000</f>
        <v>38098.529</v>
      </c>
      <c r="O10" s="186">
        <f>37576708.75/1000</f>
        <v>37576.70875</v>
      </c>
      <c r="P10" s="186">
        <v>39473.6</v>
      </c>
      <c r="Q10" s="186"/>
      <c r="R10" s="190"/>
      <c r="S10" s="190"/>
    </row>
    <row r="11" spans="1:19" s="3" customFormat="1" ht="74.25" customHeight="1">
      <c r="A11" s="183"/>
      <c r="B11" s="73"/>
      <c r="C11" s="235"/>
      <c r="D11" s="316"/>
      <c r="E11" s="22" t="s">
        <v>237</v>
      </c>
      <c r="F11" s="22" t="s">
        <v>1136</v>
      </c>
      <c r="G11" s="22" t="s">
        <v>240</v>
      </c>
      <c r="H11" s="216" t="s">
        <v>264</v>
      </c>
      <c r="I11" s="216" t="s">
        <v>115</v>
      </c>
      <c r="J11" s="216" t="s">
        <v>195</v>
      </c>
      <c r="K11" s="216" t="s">
        <v>1007</v>
      </c>
      <c r="L11" s="216" t="s">
        <v>236</v>
      </c>
      <c r="M11" s="216" t="s">
        <v>33</v>
      </c>
      <c r="N11" s="186"/>
      <c r="O11" s="186"/>
      <c r="P11" s="186"/>
      <c r="Q11" s="186"/>
      <c r="R11" s="190"/>
      <c r="S11" s="190"/>
    </row>
    <row r="12" spans="1:19" s="3" customFormat="1" ht="154.5" customHeight="1">
      <c r="A12" s="184"/>
      <c r="B12" s="20"/>
      <c r="C12" s="236"/>
      <c r="D12" s="317" t="s">
        <v>305</v>
      </c>
      <c r="E12" s="23" t="s">
        <v>42</v>
      </c>
      <c r="F12" s="23" t="s">
        <v>239</v>
      </c>
      <c r="G12" s="23" t="s">
        <v>114</v>
      </c>
      <c r="H12" s="318"/>
      <c r="I12" s="217"/>
      <c r="J12" s="217"/>
      <c r="K12" s="217"/>
      <c r="L12" s="217"/>
      <c r="M12" s="217"/>
      <c r="N12" s="54">
        <f>75618.11/1000</f>
        <v>75.61811</v>
      </c>
      <c r="O12" s="54">
        <v>0</v>
      </c>
      <c r="P12" s="54">
        <v>0</v>
      </c>
      <c r="Q12" s="54">
        <v>470.4</v>
      </c>
      <c r="R12" s="67">
        <v>0</v>
      </c>
      <c r="S12" s="67">
        <v>0</v>
      </c>
    </row>
    <row r="13" spans="1:19" s="3" customFormat="1" ht="72.75" customHeight="1">
      <c r="A13" s="39"/>
      <c r="B13" s="12" t="s">
        <v>3</v>
      </c>
      <c r="C13" s="12"/>
      <c r="D13" s="314" t="s">
        <v>305</v>
      </c>
      <c r="E13" s="7" t="s">
        <v>34</v>
      </c>
      <c r="F13" s="7" t="s">
        <v>9</v>
      </c>
      <c r="G13" s="10" t="s">
        <v>1117</v>
      </c>
      <c r="H13" s="7" t="s">
        <v>670</v>
      </c>
      <c r="I13" s="7" t="s">
        <v>671</v>
      </c>
      <c r="J13" s="7" t="s">
        <v>672</v>
      </c>
      <c r="K13" s="7" t="s">
        <v>18</v>
      </c>
      <c r="L13" s="7" t="s">
        <v>200</v>
      </c>
      <c r="M13" s="7" t="s">
        <v>89</v>
      </c>
      <c r="N13" s="51">
        <f>130280/1000</f>
        <v>130.28</v>
      </c>
      <c r="O13" s="51">
        <f>130280/1000</f>
        <v>130.28</v>
      </c>
      <c r="P13" s="51">
        <v>138.857</v>
      </c>
      <c r="Q13" s="51">
        <v>160.4</v>
      </c>
      <c r="R13" s="52">
        <v>168.7</v>
      </c>
      <c r="S13" s="52">
        <v>177</v>
      </c>
    </row>
    <row r="14" spans="1:19" s="3" customFormat="1" ht="144" customHeight="1">
      <c r="A14" s="227"/>
      <c r="B14" s="19" t="s">
        <v>291</v>
      </c>
      <c r="C14" s="19"/>
      <c r="D14" s="319" t="s">
        <v>5</v>
      </c>
      <c r="E14" s="21" t="s">
        <v>66</v>
      </c>
      <c r="F14" s="21" t="s">
        <v>68</v>
      </c>
      <c r="G14" s="21" t="s">
        <v>1118</v>
      </c>
      <c r="H14" s="21" t="s">
        <v>248</v>
      </c>
      <c r="I14" s="21" t="s">
        <v>212</v>
      </c>
      <c r="J14" s="21" t="s">
        <v>33</v>
      </c>
      <c r="K14" s="21" t="s">
        <v>1529</v>
      </c>
      <c r="L14" s="21" t="s">
        <v>207</v>
      </c>
      <c r="M14" s="21" t="s">
        <v>208</v>
      </c>
      <c r="N14" s="304">
        <f>13738133.58/1000</f>
        <v>13738.13358</v>
      </c>
      <c r="O14" s="304">
        <f>13738133.58/1000</f>
        <v>13738.13358</v>
      </c>
      <c r="P14" s="304">
        <v>13714.48139</v>
      </c>
      <c r="Q14" s="304">
        <v>15565.6</v>
      </c>
      <c r="R14" s="293">
        <v>15587.5</v>
      </c>
      <c r="S14" s="293">
        <v>15603.8</v>
      </c>
    </row>
    <row r="15" spans="1:19" s="3" customFormat="1" ht="86.25" customHeight="1">
      <c r="A15" s="183"/>
      <c r="B15" s="73"/>
      <c r="C15" s="268"/>
      <c r="D15" s="316"/>
      <c r="E15" s="22" t="s">
        <v>237</v>
      </c>
      <c r="F15" s="22" t="s">
        <v>238</v>
      </c>
      <c r="G15" s="22" t="s">
        <v>240</v>
      </c>
      <c r="H15" s="216" t="s">
        <v>264</v>
      </c>
      <c r="I15" s="216" t="s">
        <v>115</v>
      </c>
      <c r="J15" s="216" t="s">
        <v>195</v>
      </c>
      <c r="K15" s="22" t="s">
        <v>897</v>
      </c>
      <c r="L15" s="22" t="s">
        <v>71</v>
      </c>
      <c r="M15" s="22" t="s">
        <v>896</v>
      </c>
      <c r="N15" s="305"/>
      <c r="O15" s="305"/>
      <c r="P15" s="305"/>
      <c r="Q15" s="305"/>
      <c r="R15" s="294"/>
      <c r="S15" s="294"/>
    </row>
    <row r="16" spans="1:19" s="3" customFormat="1" ht="219" customHeight="1">
      <c r="A16" s="184"/>
      <c r="B16" s="20"/>
      <c r="C16" s="236"/>
      <c r="D16" s="320"/>
      <c r="E16" s="23" t="s">
        <v>42</v>
      </c>
      <c r="F16" s="23" t="s">
        <v>239</v>
      </c>
      <c r="G16" s="23" t="s">
        <v>114</v>
      </c>
      <c r="H16" s="217"/>
      <c r="I16" s="217"/>
      <c r="J16" s="217"/>
      <c r="K16" s="22" t="s">
        <v>788</v>
      </c>
      <c r="L16" s="22" t="s">
        <v>236</v>
      </c>
      <c r="M16" s="22" t="s">
        <v>33</v>
      </c>
      <c r="N16" s="152"/>
      <c r="O16" s="152"/>
      <c r="P16" s="152"/>
      <c r="Q16" s="152"/>
      <c r="R16" s="153"/>
      <c r="S16" s="153"/>
    </row>
    <row r="17" spans="1:19" s="3" customFormat="1" ht="62.25" customHeight="1">
      <c r="A17" s="39"/>
      <c r="B17" s="12" t="s">
        <v>282</v>
      </c>
      <c r="C17" s="12"/>
      <c r="D17" s="314" t="s">
        <v>306</v>
      </c>
      <c r="E17" s="7" t="s">
        <v>34</v>
      </c>
      <c r="F17" s="7" t="s">
        <v>9</v>
      </c>
      <c r="G17" s="10" t="s">
        <v>1116</v>
      </c>
      <c r="H17" s="7"/>
      <c r="I17" s="7"/>
      <c r="J17" s="7"/>
      <c r="K17" s="7" t="s">
        <v>984</v>
      </c>
      <c r="L17" s="7" t="s">
        <v>26</v>
      </c>
      <c r="M17" s="7" t="s">
        <v>888</v>
      </c>
      <c r="N17" s="51">
        <f>668925.46/1000</f>
        <v>668.9254599999999</v>
      </c>
      <c r="O17" s="51">
        <v>0</v>
      </c>
      <c r="P17" s="51">
        <v>865.17485</v>
      </c>
      <c r="Q17" s="51">
        <v>20712.6</v>
      </c>
      <c r="R17" s="52">
        <v>28500</v>
      </c>
      <c r="S17" s="52">
        <v>30000</v>
      </c>
    </row>
    <row r="18" spans="1:19" s="2" customFormat="1" ht="26.25" customHeight="1">
      <c r="A18" s="38" t="s">
        <v>123</v>
      </c>
      <c r="B18" s="311" t="s">
        <v>1114</v>
      </c>
      <c r="C18" s="312"/>
      <c r="D18" s="312"/>
      <c r="E18" s="312"/>
      <c r="F18" s="312"/>
      <c r="G18" s="312"/>
      <c r="H18" s="312"/>
      <c r="I18" s="312"/>
      <c r="J18" s="312"/>
      <c r="K18" s="312"/>
      <c r="L18" s="312"/>
      <c r="M18" s="313"/>
      <c r="N18" s="50">
        <f aca="true" t="shared" si="2" ref="N18:S18">SUM(N19:N21)</f>
        <v>6034.4564</v>
      </c>
      <c r="O18" s="50">
        <f t="shared" si="2"/>
        <v>6034.4564</v>
      </c>
      <c r="P18" s="50">
        <f t="shared" si="2"/>
        <v>6391.376389999999</v>
      </c>
      <c r="Q18" s="50">
        <f t="shared" si="2"/>
        <v>6817.8</v>
      </c>
      <c r="R18" s="50">
        <f t="shared" si="2"/>
        <v>6866</v>
      </c>
      <c r="S18" s="50">
        <f t="shared" si="2"/>
        <v>6913.6</v>
      </c>
    </row>
    <row r="19" spans="1:19" s="3" customFormat="1" ht="60.75" customHeight="1">
      <c r="A19" s="278"/>
      <c r="B19" s="235" t="s">
        <v>112</v>
      </c>
      <c r="C19" s="15"/>
      <c r="D19" s="315" t="s">
        <v>305</v>
      </c>
      <c r="E19" s="21" t="s">
        <v>34</v>
      </c>
      <c r="F19" s="21" t="s">
        <v>1115</v>
      </c>
      <c r="G19" s="21" t="s">
        <v>1116</v>
      </c>
      <c r="H19" s="21"/>
      <c r="I19" s="21"/>
      <c r="J19" s="21"/>
      <c r="K19" s="21" t="s">
        <v>27</v>
      </c>
      <c r="L19" s="21" t="s">
        <v>200</v>
      </c>
      <c r="M19" s="21" t="s">
        <v>241</v>
      </c>
      <c r="N19" s="185">
        <f>(2579587.62+3454868.78)/1000</f>
        <v>6034.4564</v>
      </c>
      <c r="O19" s="185">
        <f>(2579587.62+3454868.78)/1000</f>
        <v>6034.4564</v>
      </c>
      <c r="P19" s="185">
        <f>2818.5+3572.87639</f>
        <v>6391.376389999999</v>
      </c>
      <c r="Q19" s="185">
        <v>6817.8</v>
      </c>
      <c r="R19" s="188">
        <v>6866</v>
      </c>
      <c r="S19" s="188">
        <v>6913.6</v>
      </c>
    </row>
    <row r="20" spans="1:19" s="3" customFormat="1" ht="74.25" customHeight="1">
      <c r="A20" s="279"/>
      <c r="B20" s="268"/>
      <c r="C20" s="258"/>
      <c r="D20" s="316" t="s">
        <v>305</v>
      </c>
      <c r="E20" s="22" t="s">
        <v>237</v>
      </c>
      <c r="F20" s="22" t="s">
        <v>238</v>
      </c>
      <c r="G20" s="22" t="s">
        <v>240</v>
      </c>
      <c r="H20" s="216" t="s">
        <v>264</v>
      </c>
      <c r="I20" s="216" t="s">
        <v>115</v>
      </c>
      <c r="J20" s="216" t="s">
        <v>195</v>
      </c>
      <c r="K20" s="216" t="s">
        <v>788</v>
      </c>
      <c r="L20" s="216" t="s">
        <v>236</v>
      </c>
      <c r="M20" s="216" t="s">
        <v>33</v>
      </c>
      <c r="N20" s="186"/>
      <c r="O20" s="186"/>
      <c r="P20" s="186"/>
      <c r="Q20" s="186"/>
      <c r="R20" s="190"/>
      <c r="S20" s="190"/>
    </row>
    <row r="21" spans="1:19" s="3" customFormat="1" ht="141.75" customHeight="1">
      <c r="A21" s="280"/>
      <c r="B21" s="236"/>
      <c r="C21" s="258"/>
      <c r="D21" s="320"/>
      <c r="E21" s="23" t="s">
        <v>42</v>
      </c>
      <c r="F21" s="23" t="s">
        <v>239</v>
      </c>
      <c r="G21" s="23" t="s">
        <v>114</v>
      </c>
      <c r="H21" s="217"/>
      <c r="I21" s="217"/>
      <c r="J21" s="217"/>
      <c r="K21" s="318"/>
      <c r="L21" s="318"/>
      <c r="M21" s="318"/>
      <c r="N21" s="187"/>
      <c r="O21" s="187"/>
      <c r="P21" s="187"/>
      <c r="Q21" s="187"/>
      <c r="R21" s="189"/>
      <c r="S21" s="189"/>
    </row>
    <row r="22" spans="1:19" s="2" customFormat="1" ht="27" customHeight="1">
      <c r="A22" s="38" t="s">
        <v>270</v>
      </c>
      <c r="B22" s="174" t="s">
        <v>1119</v>
      </c>
      <c r="C22" s="175"/>
      <c r="D22" s="175"/>
      <c r="E22" s="175"/>
      <c r="F22" s="175"/>
      <c r="G22" s="175"/>
      <c r="H22" s="175"/>
      <c r="I22" s="175"/>
      <c r="J22" s="175"/>
      <c r="K22" s="175"/>
      <c r="L22" s="175"/>
      <c r="M22" s="176"/>
      <c r="N22" s="51"/>
      <c r="O22" s="51"/>
      <c r="P22" s="51"/>
      <c r="Q22" s="57"/>
      <c r="R22" s="74"/>
      <c r="S22" s="74"/>
    </row>
    <row r="23" spans="1:19" s="2" customFormat="1" ht="84" customHeight="1">
      <c r="A23" s="278" t="s">
        <v>96</v>
      </c>
      <c r="B23" s="281" t="s">
        <v>1120</v>
      </c>
      <c r="C23" s="15"/>
      <c r="D23" s="221" t="s">
        <v>142</v>
      </c>
      <c r="E23" s="100" t="s">
        <v>169</v>
      </c>
      <c r="F23" s="100" t="s">
        <v>1137</v>
      </c>
      <c r="G23" s="100" t="s">
        <v>513</v>
      </c>
      <c r="H23" s="100" t="s">
        <v>60</v>
      </c>
      <c r="I23" s="100" t="s">
        <v>1138</v>
      </c>
      <c r="J23" s="100" t="s">
        <v>61</v>
      </c>
      <c r="K23" s="224" t="s">
        <v>54</v>
      </c>
      <c r="L23" s="224" t="s">
        <v>200</v>
      </c>
      <c r="M23" s="224" t="s">
        <v>124</v>
      </c>
      <c r="N23" s="218">
        <v>0</v>
      </c>
      <c r="O23" s="218">
        <v>0</v>
      </c>
      <c r="P23" s="218">
        <v>346.6</v>
      </c>
      <c r="Q23" s="218">
        <v>2511.5</v>
      </c>
      <c r="R23" s="218">
        <v>0</v>
      </c>
      <c r="S23" s="218">
        <v>2771.6</v>
      </c>
    </row>
    <row r="24" spans="1:19" s="2" customFormat="1" ht="96" customHeight="1">
      <c r="A24" s="279"/>
      <c r="B24" s="282"/>
      <c r="C24" s="15"/>
      <c r="D24" s="222"/>
      <c r="E24" s="124" t="s">
        <v>1139</v>
      </c>
      <c r="F24" s="124" t="s">
        <v>1140</v>
      </c>
      <c r="G24" s="124" t="s">
        <v>1141</v>
      </c>
      <c r="H24" s="124" t="s">
        <v>1142</v>
      </c>
      <c r="I24" s="124" t="s">
        <v>1143</v>
      </c>
      <c r="J24" s="124" t="s">
        <v>1144</v>
      </c>
      <c r="K24" s="225"/>
      <c r="L24" s="225"/>
      <c r="M24" s="225"/>
      <c r="N24" s="219"/>
      <c r="O24" s="219"/>
      <c r="P24" s="219"/>
      <c r="Q24" s="219"/>
      <c r="R24" s="219"/>
      <c r="S24" s="219"/>
    </row>
    <row r="25" spans="1:19" s="2" customFormat="1" ht="59.25" customHeight="1">
      <c r="A25" s="279"/>
      <c r="B25" s="282"/>
      <c r="C25" s="15"/>
      <c r="D25" s="222"/>
      <c r="E25" s="124" t="s">
        <v>34</v>
      </c>
      <c r="F25" s="124" t="s">
        <v>1145</v>
      </c>
      <c r="G25" s="124" t="s">
        <v>1116</v>
      </c>
      <c r="H25" s="124" t="s">
        <v>1146</v>
      </c>
      <c r="I25" s="124" t="s">
        <v>1147</v>
      </c>
      <c r="J25" s="124" t="s">
        <v>1148</v>
      </c>
      <c r="K25" s="225"/>
      <c r="L25" s="225"/>
      <c r="M25" s="225"/>
      <c r="N25" s="219"/>
      <c r="O25" s="219"/>
      <c r="P25" s="219"/>
      <c r="Q25" s="219"/>
      <c r="R25" s="219"/>
      <c r="S25" s="219"/>
    </row>
    <row r="26" spans="1:19" s="2" customFormat="1" ht="72.75" customHeight="1">
      <c r="A26" s="280"/>
      <c r="B26" s="283"/>
      <c r="C26" s="15"/>
      <c r="D26" s="223"/>
      <c r="E26" s="125" t="s">
        <v>1149</v>
      </c>
      <c r="F26" s="125" t="s">
        <v>1150</v>
      </c>
      <c r="G26" s="125" t="s">
        <v>1151</v>
      </c>
      <c r="H26" s="82"/>
      <c r="I26" s="82"/>
      <c r="J26" s="82"/>
      <c r="K26" s="226"/>
      <c r="L26" s="226"/>
      <c r="M26" s="226"/>
      <c r="N26" s="220"/>
      <c r="O26" s="220"/>
      <c r="P26" s="220"/>
      <c r="Q26" s="220"/>
      <c r="R26" s="220"/>
      <c r="S26" s="220"/>
    </row>
    <row r="27" spans="1:19" s="2" customFormat="1" ht="15.75" customHeight="1">
      <c r="A27" s="38" t="s">
        <v>21</v>
      </c>
      <c r="B27" s="174" t="s">
        <v>1121</v>
      </c>
      <c r="C27" s="175"/>
      <c r="D27" s="175"/>
      <c r="E27" s="175"/>
      <c r="F27" s="175"/>
      <c r="G27" s="175"/>
      <c r="H27" s="175"/>
      <c r="I27" s="175"/>
      <c r="J27" s="175"/>
      <c r="K27" s="175"/>
      <c r="L27" s="175"/>
      <c r="M27" s="176"/>
      <c r="N27" s="51"/>
      <c r="O27" s="51"/>
      <c r="P27" s="51"/>
      <c r="Q27" s="57"/>
      <c r="R27" s="74"/>
      <c r="S27" s="74"/>
    </row>
    <row r="28" spans="1:19" s="6" customFormat="1" ht="97.5" customHeight="1">
      <c r="A28" s="38" t="s">
        <v>38</v>
      </c>
      <c r="B28" s="18" t="s">
        <v>1588</v>
      </c>
      <c r="C28" s="15"/>
      <c r="D28" s="47" t="s">
        <v>199</v>
      </c>
      <c r="E28" s="66" t="s">
        <v>34</v>
      </c>
      <c r="F28" s="66" t="s">
        <v>1152</v>
      </c>
      <c r="G28" s="66" t="s">
        <v>1116</v>
      </c>
      <c r="H28" s="66"/>
      <c r="I28" s="66"/>
      <c r="J28" s="66"/>
      <c r="K28" s="66" t="s">
        <v>73</v>
      </c>
      <c r="L28" s="66" t="s">
        <v>159</v>
      </c>
      <c r="M28" s="126" t="s">
        <v>33</v>
      </c>
      <c r="N28" s="50">
        <f>463856/1000</f>
        <v>463.856</v>
      </c>
      <c r="O28" s="50">
        <f>463856/1000</f>
        <v>463.856</v>
      </c>
      <c r="P28" s="50">
        <v>711</v>
      </c>
      <c r="Q28" s="50">
        <v>826.2</v>
      </c>
      <c r="R28" s="75">
        <v>869.2</v>
      </c>
      <c r="S28" s="75">
        <v>911.8</v>
      </c>
    </row>
    <row r="29" spans="1:19" s="2" customFormat="1" ht="16.5" customHeight="1">
      <c r="A29" s="38" t="s">
        <v>43</v>
      </c>
      <c r="B29" s="174" t="s">
        <v>28</v>
      </c>
      <c r="C29" s="175"/>
      <c r="D29" s="175"/>
      <c r="E29" s="175"/>
      <c r="F29" s="175"/>
      <c r="G29" s="175"/>
      <c r="H29" s="175"/>
      <c r="I29" s="175"/>
      <c r="J29" s="175"/>
      <c r="K29" s="175"/>
      <c r="L29" s="175"/>
      <c r="M29" s="176"/>
      <c r="N29" s="50">
        <f aca="true" t="shared" si="3" ref="N29:S29">SUM(N30:N34)</f>
        <v>15010.322999999999</v>
      </c>
      <c r="O29" s="50">
        <f t="shared" si="3"/>
        <v>14989.51269</v>
      </c>
      <c r="P29" s="50">
        <f t="shared" si="3"/>
        <v>16924.9</v>
      </c>
      <c r="Q29" s="50">
        <f t="shared" si="3"/>
        <v>21418</v>
      </c>
      <c r="R29" s="50">
        <f t="shared" si="3"/>
        <v>21606.399999999998</v>
      </c>
      <c r="S29" s="50">
        <f t="shared" si="3"/>
        <v>21805.500000000004</v>
      </c>
    </row>
    <row r="30" spans="1:19" s="3" customFormat="1" ht="63" customHeight="1">
      <c r="A30" s="227"/>
      <c r="B30" s="195" t="s">
        <v>280</v>
      </c>
      <c r="C30" s="12"/>
      <c r="D30" s="212" t="s">
        <v>281</v>
      </c>
      <c r="E30" s="21" t="s">
        <v>34</v>
      </c>
      <c r="F30" s="21" t="s">
        <v>1153</v>
      </c>
      <c r="G30" s="21" t="s">
        <v>1116</v>
      </c>
      <c r="H30" s="21" t="s">
        <v>248</v>
      </c>
      <c r="I30" s="21" t="s">
        <v>212</v>
      </c>
      <c r="J30" s="21" t="s">
        <v>33</v>
      </c>
      <c r="K30" s="21" t="s">
        <v>88</v>
      </c>
      <c r="L30" s="21" t="s">
        <v>116</v>
      </c>
      <c r="M30" s="21" t="s">
        <v>33</v>
      </c>
      <c r="N30" s="185">
        <f>14126523/1000</f>
        <v>14126.523</v>
      </c>
      <c r="O30" s="185">
        <f>14110450.11/1000</f>
        <v>14110.45011</v>
      </c>
      <c r="P30" s="185">
        <v>14465.9</v>
      </c>
      <c r="Q30" s="185">
        <v>16934.2</v>
      </c>
      <c r="R30" s="188">
        <v>17029.6</v>
      </c>
      <c r="S30" s="188">
        <v>17136.4</v>
      </c>
    </row>
    <row r="31" spans="1:19" s="3" customFormat="1" ht="74.25" customHeight="1">
      <c r="A31" s="183"/>
      <c r="B31" s="196"/>
      <c r="C31" s="258"/>
      <c r="D31" s="213"/>
      <c r="E31" s="22" t="s">
        <v>237</v>
      </c>
      <c r="F31" s="22" t="s">
        <v>1136</v>
      </c>
      <c r="G31" s="22" t="s">
        <v>240</v>
      </c>
      <c r="H31" s="216" t="s">
        <v>264</v>
      </c>
      <c r="I31" s="216" t="s">
        <v>115</v>
      </c>
      <c r="J31" s="216" t="s">
        <v>195</v>
      </c>
      <c r="K31" s="216" t="s">
        <v>788</v>
      </c>
      <c r="L31" s="216" t="s">
        <v>236</v>
      </c>
      <c r="M31" s="216" t="s">
        <v>33</v>
      </c>
      <c r="N31" s="186"/>
      <c r="O31" s="186"/>
      <c r="P31" s="186"/>
      <c r="Q31" s="186"/>
      <c r="R31" s="190"/>
      <c r="S31" s="190"/>
    </row>
    <row r="32" spans="1:19" s="3" customFormat="1" ht="141" customHeight="1">
      <c r="A32" s="184"/>
      <c r="B32" s="198"/>
      <c r="C32" s="258"/>
      <c r="D32" s="214"/>
      <c r="E32" s="23" t="s">
        <v>42</v>
      </c>
      <c r="F32" s="23" t="s">
        <v>239</v>
      </c>
      <c r="G32" s="23" t="s">
        <v>114</v>
      </c>
      <c r="H32" s="217"/>
      <c r="I32" s="217"/>
      <c r="J32" s="217"/>
      <c r="K32" s="217"/>
      <c r="L32" s="217"/>
      <c r="M32" s="217"/>
      <c r="N32" s="187"/>
      <c r="O32" s="187"/>
      <c r="P32" s="187"/>
      <c r="Q32" s="187"/>
      <c r="R32" s="189"/>
      <c r="S32" s="189"/>
    </row>
    <row r="33" spans="1:19" s="3" customFormat="1" ht="58.5" customHeight="1">
      <c r="A33" s="39"/>
      <c r="B33" s="11" t="s">
        <v>137</v>
      </c>
      <c r="C33" s="12"/>
      <c r="D33" s="44" t="s">
        <v>305</v>
      </c>
      <c r="E33" s="7" t="s">
        <v>34</v>
      </c>
      <c r="F33" s="7" t="s">
        <v>1153</v>
      </c>
      <c r="G33" s="7" t="s">
        <v>1116</v>
      </c>
      <c r="H33" s="7"/>
      <c r="I33" s="7"/>
      <c r="J33" s="7"/>
      <c r="K33" s="7" t="s">
        <v>138</v>
      </c>
      <c r="L33" s="7" t="s">
        <v>11</v>
      </c>
      <c r="M33" s="7" t="s">
        <v>33</v>
      </c>
      <c r="N33" s="51">
        <f>883800/1000</f>
        <v>883.8</v>
      </c>
      <c r="O33" s="51">
        <f>879062.58/1000</f>
        <v>879.0625799999999</v>
      </c>
      <c r="P33" s="51">
        <v>981.5</v>
      </c>
      <c r="Q33" s="51">
        <v>1063</v>
      </c>
      <c r="R33" s="52">
        <v>1118.3</v>
      </c>
      <c r="S33" s="52">
        <v>1173.2</v>
      </c>
    </row>
    <row r="34" spans="1:19" s="3" customFormat="1" ht="63" customHeight="1">
      <c r="A34" s="39"/>
      <c r="B34" s="32" t="s">
        <v>903</v>
      </c>
      <c r="C34" s="12"/>
      <c r="D34" s="44" t="s">
        <v>281</v>
      </c>
      <c r="E34" s="21" t="s">
        <v>34</v>
      </c>
      <c r="F34" s="21" t="s">
        <v>1154</v>
      </c>
      <c r="G34" s="21" t="s">
        <v>1116</v>
      </c>
      <c r="H34" s="21" t="s">
        <v>248</v>
      </c>
      <c r="I34" s="21" t="s">
        <v>212</v>
      </c>
      <c r="J34" s="21" t="s">
        <v>33</v>
      </c>
      <c r="K34" s="30" t="s">
        <v>904</v>
      </c>
      <c r="L34" s="30" t="s">
        <v>905</v>
      </c>
      <c r="M34" s="30" t="s">
        <v>906</v>
      </c>
      <c r="N34" s="51"/>
      <c r="O34" s="51"/>
      <c r="P34" s="51">
        <v>1477.5</v>
      </c>
      <c r="Q34" s="51">
        <v>3420.8</v>
      </c>
      <c r="R34" s="52">
        <v>3458.5</v>
      </c>
      <c r="S34" s="52">
        <v>3495.9</v>
      </c>
    </row>
    <row r="35" spans="1:19" s="2" customFormat="1" ht="15.75" customHeight="1">
      <c r="A35" s="38" t="s">
        <v>209</v>
      </c>
      <c r="B35" s="174" t="s">
        <v>215</v>
      </c>
      <c r="C35" s="175"/>
      <c r="D35" s="175"/>
      <c r="E35" s="175"/>
      <c r="F35" s="175"/>
      <c r="G35" s="175"/>
      <c r="H35" s="175"/>
      <c r="I35" s="175"/>
      <c r="J35" s="175"/>
      <c r="K35" s="175"/>
      <c r="L35" s="175"/>
      <c r="M35" s="176"/>
      <c r="N35" s="51"/>
      <c r="O35" s="51"/>
      <c r="P35" s="51"/>
      <c r="Q35" s="57"/>
      <c r="R35" s="74"/>
      <c r="S35" s="74"/>
    </row>
    <row r="36" spans="1:19" s="6" customFormat="1" ht="14.25" customHeight="1">
      <c r="A36" s="38" t="s">
        <v>12</v>
      </c>
      <c r="B36" s="174" t="s">
        <v>13</v>
      </c>
      <c r="C36" s="175"/>
      <c r="D36" s="175"/>
      <c r="E36" s="175"/>
      <c r="F36" s="175"/>
      <c r="G36" s="175"/>
      <c r="H36" s="175"/>
      <c r="I36" s="175"/>
      <c r="J36" s="175"/>
      <c r="K36" s="175"/>
      <c r="L36" s="175"/>
      <c r="M36" s="176"/>
      <c r="N36" s="50">
        <f aca="true" t="shared" si="4" ref="N36:S36">SUM(N37:N40)</f>
        <v>3194.7146</v>
      </c>
      <c r="O36" s="50">
        <f t="shared" si="4"/>
        <v>3187.82928</v>
      </c>
      <c r="P36" s="50">
        <f t="shared" si="4"/>
        <v>5397.27908</v>
      </c>
      <c r="Q36" s="50">
        <f t="shared" si="4"/>
        <v>2911.2</v>
      </c>
      <c r="R36" s="50">
        <f t="shared" si="4"/>
        <v>3062.7</v>
      </c>
      <c r="S36" s="50">
        <f t="shared" si="4"/>
        <v>3212.8</v>
      </c>
    </row>
    <row r="37" spans="1:19" s="6" customFormat="1" ht="63" customHeight="1">
      <c r="A37" s="227"/>
      <c r="B37" s="195" t="s">
        <v>150</v>
      </c>
      <c r="C37" s="12"/>
      <c r="D37" s="212" t="s">
        <v>305</v>
      </c>
      <c r="E37" s="21" t="s">
        <v>34</v>
      </c>
      <c r="F37" s="21" t="s">
        <v>1155</v>
      </c>
      <c r="G37" s="21" t="s">
        <v>1116</v>
      </c>
      <c r="H37" s="21"/>
      <c r="I37" s="21"/>
      <c r="J37" s="21"/>
      <c r="K37" s="215" t="s">
        <v>1008</v>
      </c>
      <c r="L37" s="215" t="s">
        <v>401</v>
      </c>
      <c r="M37" s="215" t="s">
        <v>340</v>
      </c>
      <c r="N37" s="185">
        <f>3175114.6/1000</f>
        <v>3175.1146</v>
      </c>
      <c r="O37" s="185">
        <f>3168229.28/1000</f>
        <v>3168.22928</v>
      </c>
      <c r="P37" s="185">
        <v>5397.27908</v>
      </c>
      <c r="Q37" s="185">
        <v>2911.2</v>
      </c>
      <c r="R37" s="188">
        <v>3062.7</v>
      </c>
      <c r="S37" s="188">
        <v>3212.8</v>
      </c>
    </row>
    <row r="38" spans="1:19" s="6" customFormat="1" ht="59.25" customHeight="1">
      <c r="A38" s="183"/>
      <c r="B38" s="196"/>
      <c r="C38" s="12"/>
      <c r="D38" s="213"/>
      <c r="E38" s="22" t="s">
        <v>1159</v>
      </c>
      <c r="F38" s="22" t="s">
        <v>1160</v>
      </c>
      <c r="G38" s="22" t="s">
        <v>1161</v>
      </c>
      <c r="H38" s="22"/>
      <c r="I38" s="22"/>
      <c r="J38" s="22"/>
      <c r="K38" s="216"/>
      <c r="L38" s="216"/>
      <c r="M38" s="216"/>
      <c r="N38" s="186"/>
      <c r="O38" s="186"/>
      <c r="P38" s="186"/>
      <c r="Q38" s="186"/>
      <c r="R38" s="190"/>
      <c r="S38" s="190"/>
    </row>
    <row r="39" spans="1:19" s="3" customFormat="1" ht="61.5" customHeight="1">
      <c r="A39" s="184"/>
      <c r="B39" s="198"/>
      <c r="C39" s="12"/>
      <c r="D39" s="214"/>
      <c r="E39" s="23" t="s">
        <v>1156</v>
      </c>
      <c r="F39" s="23" t="s">
        <v>1157</v>
      </c>
      <c r="G39" s="23" t="s">
        <v>1158</v>
      </c>
      <c r="H39" s="23"/>
      <c r="I39" s="23"/>
      <c r="J39" s="23"/>
      <c r="K39" s="217"/>
      <c r="L39" s="217"/>
      <c r="M39" s="217"/>
      <c r="N39" s="187"/>
      <c r="O39" s="187"/>
      <c r="P39" s="187"/>
      <c r="Q39" s="187"/>
      <c r="R39" s="189"/>
      <c r="S39" s="189"/>
    </row>
    <row r="40" spans="1:19" s="6" customFormat="1" ht="158.25" customHeight="1">
      <c r="A40" s="38"/>
      <c r="B40" s="11" t="s">
        <v>154</v>
      </c>
      <c r="C40" s="15"/>
      <c r="D40" s="44" t="s">
        <v>305</v>
      </c>
      <c r="E40" s="7" t="s">
        <v>437</v>
      </c>
      <c r="F40" s="7" t="s">
        <v>438</v>
      </c>
      <c r="G40" s="7" t="s">
        <v>33</v>
      </c>
      <c r="H40" s="7"/>
      <c r="I40" s="7"/>
      <c r="J40" s="7"/>
      <c r="K40" s="7" t="s">
        <v>321</v>
      </c>
      <c r="L40" s="7" t="s">
        <v>245</v>
      </c>
      <c r="M40" s="7" t="s">
        <v>253</v>
      </c>
      <c r="N40" s="51">
        <f>19600/1000</f>
        <v>19.6</v>
      </c>
      <c r="O40" s="51">
        <f>19600/1000</f>
        <v>19.6</v>
      </c>
      <c r="P40" s="51">
        <v>0</v>
      </c>
      <c r="Q40" s="51">
        <v>0</v>
      </c>
      <c r="R40" s="52">
        <v>0</v>
      </c>
      <c r="S40" s="52">
        <v>0</v>
      </c>
    </row>
    <row r="41" spans="1:19" s="2" customFormat="1" ht="12.75" customHeight="1">
      <c r="A41" s="38" t="s">
        <v>278</v>
      </c>
      <c r="B41" s="174" t="s">
        <v>279</v>
      </c>
      <c r="C41" s="175"/>
      <c r="D41" s="175"/>
      <c r="E41" s="175"/>
      <c r="F41" s="175"/>
      <c r="G41" s="175"/>
      <c r="H41" s="175"/>
      <c r="I41" s="175"/>
      <c r="J41" s="175"/>
      <c r="K41" s="175"/>
      <c r="L41" s="175"/>
      <c r="M41" s="176"/>
      <c r="N41" s="50">
        <f aca="true" t="shared" si="5" ref="N41:S41">SUM(N42:N43)</f>
        <v>380.2</v>
      </c>
      <c r="O41" s="50">
        <f t="shared" si="5"/>
        <v>283.3324</v>
      </c>
      <c r="P41" s="50">
        <f t="shared" si="5"/>
        <v>310</v>
      </c>
      <c r="Q41" s="50">
        <f t="shared" si="5"/>
        <v>0</v>
      </c>
      <c r="R41" s="50">
        <f t="shared" si="5"/>
        <v>0</v>
      </c>
      <c r="S41" s="50">
        <f t="shared" si="5"/>
        <v>0</v>
      </c>
    </row>
    <row r="42" spans="1:19" s="3" customFormat="1" ht="74.25" customHeight="1">
      <c r="A42" s="40"/>
      <c r="B42" s="195" t="s">
        <v>318</v>
      </c>
      <c r="C42" s="12"/>
      <c r="D42" s="45" t="s">
        <v>16</v>
      </c>
      <c r="E42" s="215" t="s">
        <v>34</v>
      </c>
      <c r="F42" s="215" t="s">
        <v>1162</v>
      </c>
      <c r="G42" s="215" t="s">
        <v>1116</v>
      </c>
      <c r="H42" s="215" t="s">
        <v>439</v>
      </c>
      <c r="I42" s="215" t="s">
        <v>440</v>
      </c>
      <c r="J42" s="215" t="s">
        <v>441</v>
      </c>
      <c r="K42" s="21" t="s">
        <v>1009</v>
      </c>
      <c r="L42" s="21" t="s">
        <v>789</v>
      </c>
      <c r="M42" s="21" t="s">
        <v>521</v>
      </c>
      <c r="N42" s="58">
        <f>318200/1000</f>
        <v>318.2</v>
      </c>
      <c r="O42" s="53">
        <f>229727.76/1000</f>
        <v>229.72776000000002</v>
      </c>
      <c r="P42" s="58">
        <v>310</v>
      </c>
      <c r="Q42" s="58">
        <v>0</v>
      </c>
      <c r="R42" s="58">
        <v>0</v>
      </c>
      <c r="S42" s="58">
        <v>0</v>
      </c>
    </row>
    <row r="43" spans="1:19" s="3" customFormat="1" ht="95.25" customHeight="1">
      <c r="A43" s="42"/>
      <c r="B43" s="198"/>
      <c r="C43" s="12"/>
      <c r="D43" s="48" t="s">
        <v>145</v>
      </c>
      <c r="E43" s="217"/>
      <c r="F43" s="217"/>
      <c r="G43" s="217"/>
      <c r="H43" s="217"/>
      <c r="I43" s="217"/>
      <c r="J43" s="217"/>
      <c r="K43" s="23" t="s">
        <v>1010</v>
      </c>
      <c r="L43" s="23" t="s">
        <v>245</v>
      </c>
      <c r="M43" s="23" t="s">
        <v>790</v>
      </c>
      <c r="N43" s="60">
        <f>62000/1000</f>
        <v>62</v>
      </c>
      <c r="O43" s="59">
        <f>53604.64/1000</f>
        <v>53.604639999999996</v>
      </c>
      <c r="P43" s="60">
        <v>0</v>
      </c>
      <c r="Q43" s="60">
        <v>0</v>
      </c>
      <c r="R43" s="60">
        <v>0</v>
      </c>
      <c r="S43" s="60">
        <v>0</v>
      </c>
    </row>
    <row r="44" spans="1:19" s="2" customFormat="1" ht="38.25" customHeight="1">
      <c r="A44" s="38" t="s">
        <v>129</v>
      </c>
      <c r="B44" s="174" t="s">
        <v>1589</v>
      </c>
      <c r="C44" s="175"/>
      <c r="D44" s="175"/>
      <c r="E44" s="175"/>
      <c r="F44" s="175"/>
      <c r="G44" s="175"/>
      <c r="H44" s="175"/>
      <c r="I44" s="175"/>
      <c r="J44" s="175"/>
      <c r="K44" s="175"/>
      <c r="L44" s="175"/>
      <c r="M44" s="176"/>
      <c r="N44" s="50">
        <f aca="true" t="shared" si="6" ref="N44:S44">SUM(N45:N48)</f>
        <v>3285.58677</v>
      </c>
      <c r="O44" s="50">
        <f t="shared" si="6"/>
        <v>3285.58677</v>
      </c>
      <c r="P44" s="50">
        <f>SUM(P45:P48)</f>
        <v>4242.444799999999</v>
      </c>
      <c r="Q44" s="50">
        <f t="shared" si="6"/>
        <v>2892.2</v>
      </c>
      <c r="R44" s="50">
        <f t="shared" si="6"/>
        <v>3042.6</v>
      </c>
      <c r="S44" s="50">
        <f t="shared" si="6"/>
        <v>3191.7</v>
      </c>
    </row>
    <row r="45" spans="1:19" s="3" customFormat="1" ht="96" customHeight="1">
      <c r="A45" s="286"/>
      <c r="B45" s="195" t="s">
        <v>341</v>
      </c>
      <c r="C45" s="12"/>
      <c r="D45" s="212" t="s">
        <v>247</v>
      </c>
      <c r="E45" s="215" t="s">
        <v>34</v>
      </c>
      <c r="F45" s="215" t="s">
        <v>91</v>
      </c>
      <c r="G45" s="215" t="s">
        <v>1116</v>
      </c>
      <c r="H45" s="215" t="s">
        <v>439</v>
      </c>
      <c r="I45" s="215" t="s">
        <v>440</v>
      </c>
      <c r="J45" s="215" t="s">
        <v>441</v>
      </c>
      <c r="K45" s="21" t="s">
        <v>421</v>
      </c>
      <c r="L45" s="21" t="s">
        <v>422</v>
      </c>
      <c r="M45" s="21" t="s">
        <v>423</v>
      </c>
      <c r="N45" s="53">
        <f>2186307.77/1000</f>
        <v>2186.30777</v>
      </c>
      <c r="O45" s="53">
        <f>2186307.77/1000</f>
        <v>2186.30777</v>
      </c>
      <c r="P45" s="53">
        <v>2731</v>
      </c>
      <c r="Q45" s="53">
        <v>2892.2</v>
      </c>
      <c r="R45" s="56">
        <v>3042.6</v>
      </c>
      <c r="S45" s="56">
        <v>3191.7</v>
      </c>
    </row>
    <row r="46" spans="1:19" s="3" customFormat="1" ht="120.75" customHeight="1">
      <c r="A46" s="287"/>
      <c r="B46" s="196"/>
      <c r="C46" s="12"/>
      <c r="D46" s="213"/>
      <c r="E46" s="216"/>
      <c r="F46" s="216"/>
      <c r="G46" s="216"/>
      <c r="H46" s="216"/>
      <c r="I46" s="216"/>
      <c r="J46" s="216"/>
      <c r="K46" s="22" t="s">
        <v>815</v>
      </c>
      <c r="L46" s="22" t="s">
        <v>245</v>
      </c>
      <c r="M46" s="22" t="s">
        <v>817</v>
      </c>
      <c r="N46" s="54">
        <v>0</v>
      </c>
      <c r="O46" s="54">
        <v>0</v>
      </c>
      <c r="P46" s="54">
        <v>445.3848</v>
      </c>
      <c r="Q46" s="54">
        <v>0</v>
      </c>
      <c r="R46" s="67">
        <v>0</v>
      </c>
      <c r="S46" s="67">
        <v>0</v>
      </c>
    </row>
    <row r="47" spans="1:19" s="3" customFormat="1" ht="108.75" customHeight="1">
      <c r="A47" s="288"/>
      <c r="B47" s="198"/>
      <c r="C47" s="12"/>
      <c r="D47" s="214"/>
      <c r="E47" s="217"/>
      <c r="F47" s="217"/>
      <c r="G47" s="217"/>
      <c r="H47" s="217"/>
      <c r="I47" s="217"/>
      <c r="J47" s="217"/>
      <c r="K47" s="36" t="s">
        <v>1013</v>
      </c>
      <c r="L47" s="36" t="s">
        <v>194</v>
      </c>
      <c r="M47" s="36" t="s">
        <v>817</v>
      </c>
      <c r="N47" s="59">
        <v>0</v>
      </c>
      <c r="O47" s="59">
        <v>0</v>
      </c>
      <c r="P47" s="59">
        <f>1066.06</f>
        <v>1066.06</v>
      </c>
      <c r="Q47" s="59">
        <v>0</v>
      </c>
      <c r="R47" s="61">
        <v>0</v>
      </c>
      <c r="S47" s="61">
        <v>0</v>
      </c>
    </row>
    <row r="48" spans="1:19" s="3" customFormat="1" ht="147" customHeight="1">
      <c r="A48" s="42"/>
      <c r="B48" s="32" t="s">
        <v>592</v>
      </c>
      <c r="C48" s="12"/>
      <c r="D48" s="48" t="s">
        <v>247</v>
      </c>
      <c r="E48" s="7" t="s">
        <v>34</v>
      </c>
      <c r="F48" s="7" t="s">
        <v>1163</v>
      </c>
      <c r="G48" s="7" t="s">
        <v>1116</v>
      </c>
      <c r="H48" s="23" t="s">
        <v>655</v>
      </c>
      <c r="I48" s="23" t="s">
        <v>71</v>
      </c>
      <c r="J48" s="23" t="s">
        <v>652</v>
      </c>
      <c r="K48" s="23" t="s">
        <v>776</v>
      </c>
      <c r="L48" s="23" t="s">
        <v>71</v>
      </c>
      <c r="M48" s="23" t="s">
        <v>775</v>
      </c>
      <c r="N48" s="59">
        <f>1099279/1000</f>
        <v>1099.279</v>
      </c>
      <c r="O48" s="59">
        <f>1099279/1000</f>
        <v>1099.279</v>
      </c>
      <c r="P48" s="59">
        <v>0</v>
      </c>
      <c r="Q48" s="59">
        <v>0</v>
      </c>
      <c r="R48" s="61">
        <v>0</v>
      </c>
      <c r="S48" s="61">
        <v>0</v>
      </c>
    </row>
    <row r="49" spans="1:19" s="2" customFormat="1" ht="14.25" customHeight="1">
      <c r="A49" s="38" t="s">
        <v>244</v>
      </c>
      <c r="B49" s="174" t="s">
        <v>158</v>
      </c>
      <c r="C49" s="175"/>
      <c r="D49" s="175"/>
      <c r="E49" s="175"/>
      <c r="F49" s="175"/>
      <c r="G49" s="175"/>
      <c r="H49" s="175"/>
      <c r="I49" s="175"/>
      <c r="J49" s="175"/>
      <c r="K49" s="175"/>
      <c r="L49" s="175"/>
      <c r="M49" s="176"/>
      <c r="N49" s="50">
        <f aca="true" t="shared" si="7" ref="N49:S49">SUM(N50:N56)</f>
        <v>1054.38924</v>
      </c>
      <c r="O49" s="50">
        <f t="shared" si="7"/>
        <v>1054.38836</v>
      </c>
      <c r="P49" s="50">
        <f t="shared" si="7"/>
        <v>2265.72206</v>
      </c>
      <c r="Q49" s="50">
        <f t="shared" si="7"/>
        <v>1907.8</v>
      </c>
      <c r="R49" s="50">
        <f t="shared" si="7"/>
        <v>2007</v>
      </c>
      <c r="S49" s="50">
        <f t="shared" si="7"/>
        <v>2105.3</v>
      </c>
    </row>
    <row r="50" spans="1:19" s="3" customFormat="1" ht="48.75" customHeight="1">
      <c r="A50" s="227"/>
      <c r="B50" s="195" t="s">
        <v>424</v>
      </c>
      <c r="C50" s="12"/>
      <c r="D50" s="212" t="s">
        <v>144</v>
      </c>
      <c r="E50" s="215" t="s">
        <v>34</v>
      </c>
      <c r="F50" s="215" t="s">
        <v>1164</v>
      </c>
      <c r="G50" s="215" t="s">
        <v>1116</v>
      </c>
      <c r="H50" s="215"/>
      <c r="I50" s="215"/>
      <c r="J50" s="215"/>
      <c r="K50" s="21" t="s">
        <v>791</v>
      </c>
      <c r="L50" s="28" t="s">
        <v>86</v>
      </c>
      <c r="M50" s="28" t="s">
        <v>425</v>
      </c>
      <c r="N50" s="185">
        <f>875162.24/1000</f>
        <v>875.16224</v>
      </c>
      <c r="O50" s="185">
        <f>875162.24/1000</f>
        <v>875.16224</v>
      </c>
      <c r="P50" s="185">
        <v>0</v>
      </c>
      <c r="Q50" s="185">
        <v>0</v>
      </c>
      <c r="R50" s="188">
        <v>0</v>
      </c>
      <c r="S50" s="188">
        <v>0</v>
      </c>
    </row>
    <row r="51" spans="1:19" s="3" customFormat="1" ht="72.75" customHeight="1">
      <c r="A51" s="184"/>
      <c r="B51" s="198"/>
      <c r="C51" s="12"/>
      <c r="D51" s="214"/>
      <c r="E51" s="217"/>
      <c r="F51" s="217"/>
      <c r="G51" s="217"/>
      <c r="H51" s="217"/>
      <c r="I51" s="217"/>
      <c r="J51" s="217"/>
      <c r="K51" s="23" t="s">
        <v>792</v>
      </c>
      <c r="L51" s="29" t="s">
        <v>245</v>
      </c>
      <c r="M51" s="29" t="s">
        <v>536</v>
      </c>
      <c r="N51" s="187"/>
      <c r="O51" s="187"/>
      <c r="P51" s="187"/>
      <c r="Q51" s="187"/>
      <c r="R51" s="189"/>
      <c r="S51" s="189"/>
    </row>
    <row r="52" spans="1:19" s="3" customFormat="1" ht="47.25" customHeight="1">
      <c r="A52" s="227"/>
      <c r="B52" s="195" t="s">
        <v>424</v>
      </c>
      <c r="C52" s="12"/>
      <c r="D52" s="212" t="s">
        <v>144</v>
      </c>
      <c r="E52" s="215" t="s">
        <v>34</v>
      </c>
      <c r="F52" s="215" t="s">
        <v>1164</v>
      </c>
      <c r="G52" s="215" t="s">
        <v>1116</v>
      </c>
      <c r="H52" s="215"/>
      <c r="I52" s="215"/>
      <c r="J52" s="215"/>
      <c r="K52" s="28" t="s">
        <v>1014</v>
      </c>
      <c r="L52" s="28" t="s">
        <v>86</v>
      </c>
      <c r="M52" s="28" t="s">
        <v>1015</v>
      </c>
      <c r="N52" s="185">
        <v>0</v>
      </c>
      <c r="O52" s="185">
        <v>0</v>
      </c>
      <c r="P52" s="185">
        <v>1376.27489</v>
      </c>
      <c r="Q52" s="185">
        <v>965.8</v>
      </c>
      <c r="R52" s="188">
        <v>1016</v>
      </c>
      <c r="S52" s="188">
        <v>1065.8</v>
      </c>
    </row>
    <row r="53" spans="1:19" s="3" customFormat="1" ht="84" customHeight="1">
      <c r="A53" s="184"/>
      <c r="B53" s="198"/>
      <c r="C53" s="12"/>
      <c r="D53" s="214"/>
      <c r="E53" s="217"/>
      <c r="F53" s="217"/>
      <c r="G53" s="217"/>
      <c r="H53" s="217"/>
      <c r="I53" s="217"/>
      <c r="J53" s="217"/>
      <c r="K53" s="92" t="s">
        <v>1016</v>
      </c>
      <c r="L53" s="92" t="s">
        <v>245</v>
      </c>
      <c r="M53" s="92" t="s">
        <v>1015</v>
      </c>
      <c r="N53" s="187"/>
      <c r="O53" s="187"/>
      <c r="P53" s="187"/>
      <c r="Q53" s="187"/>
      <c r="R53" s="189"/>
      <c r="S53" s="189"/>
    </row>
    <row r="54" spans="1:19" s="3" customFormat="1" ht="59.25" customHeight="1">
      <c r="A54" s="42"/>
      <c r="B54" s="32" t="s">
        <v>907</v>
      </c>
      <c r="C54" s="12"/>
      <c r="D54" s="48" t="s">
        <v>144</v>
      </c>
      <c r="E54" s="7" t="s">
        <v>34</v>
      </c>
      <c r="F54" s="7" t="s">
        <v>1164</v>
      </c>
      <c r="G54" s="7" t="s">
        <v>1116</v>
      </c>
      <c r="H54" s="23"/>
      <c r="I54" s="23"/>
      <c r="J54" s="23"/>
      <c r="K54" s="30" t="s">
        <v>908</v>
      </c>
      <c r="L54" s="30" t="s">
        <v>299</v>
      </c>
      <c r="M54" s="30" t="s">
        <v>909</v>
      </c>
      <c r="N54" s="59"/>
      <c r="O54" s="59"/>
      <c r="P54" s="59">
        <f>10988.25/1000</f>
        <v>10.98825</v>
      </c>
      <c r="Q54" s="59">
        <v>11.7</v>
      </c>
      <c r="R54" s="61">
        <v>12.3</v>
      </c>
      <c r="S54" s="61">
        <v>12.9</v>
      </c>
    </row>
    <row r="55" spans="1:19" s="3" customFormat="1" ht="96" customHeight="1">
      <c r="A55" s="227"/>
      <c r="B55" s="195" t="s">
        <v>304</v>
      </c>
      <c r="C55" s="12"/>
      <c r="D55" s="212" t="s">
        <v>295</v>
      </c>
      <c r="E55" s="215" t="s">
        <v>34</v>
      </c>
      <c r="F55" s="215" t="s">
        <v>1164</v>
      </c>
      <c r="G55" s="215" t="s">
        <v>1116</v>
      </c>
      <c r="H55" s="215"/>
      <c r="I55" s="215"/>
      <c r="J55" s="215"/>
      <c r="K55" s="21" t="s">
        <v>910</v>
      </c>
      <c r="L55" s="21" t="s">
        <v>355</v>
      </c>
      <c r="M55" s="21" t="s">
        <v>356</v>
      </c>
      <c r="N55" s="185">
        <f>179227/1000</f>
        <v>179.227</v>
      </c>
      <c r="O55" s="185">
        <f>179226.12/1000</f>
        <v>179.22612</v>
      </c>
      <c r="P55" s="185">
        <f>878458.92/1000</f>
        <v>878.45892</v>
      </c>
      <c r="Q55" s="185">
        <v>930.3</v>
      </c>
      <c r="R55" s="188">
        <v>978.7</v>
      </c>
      <c r="S55" s="188">
        <v>1026.6</v>
      </c>
    </row>
    <row r="56" spans="1:19" s="3" customFormat="1" ht="132" customHeight="1">
      <c r="A56" s="184"/>
      <c r="B56" s="198"/>
      <c r="C56" s="12"/>
      <c r="D56" s="214"/>
      <c r="E56" s="217"/>
      <c r="F56" s="217"/>
      <c r="G56" s="217"/>
      <c r="H56" s="217"/>
      <c r="I56" s="217"/>
      <c r="J56" s="217"/>
      <c r="K56" s="23" t="s">
        <v>911</v>
      </c>
      <c r="L56" s="23" t="s">
        <v>194</v>
      </c>
      <c r="M56" s="23" t="s">
        <v>912</v>
      </c>
      <c r="N56" s="187"/>
      <c r="O56" s="187"/>
      <c r="P56" s="187"/>
      <c r="Q56" s="187"/>
      <c r="R56" s="189"/>
      <c r="S56" s="189"/>
    </row>
    <row r="57" spans="1:19" s="2" customFormat="1" ht="12" customHeight="1">
      <c r="A57" s="38" t="s">
        <v>135</v>
      </c>
      <c r="B57" s="174" t="s">
        <v>136</v>
      </c>
      <c r="C57" s="175"/>
      <c r="D57" s="175"/>
      <c r="E57" s="175"/>
      <c r="F57" s="175"/>
      <c r="G57" s="175"/>
      <c r="H57" s="175"/>
      <c r="I57" s="175"/>
      <c r="J57" s="175"/>
      <c r="K57" s="175"/>
      <c r="L57" s="175"/>
      <c r="M57" s="176"/>
      <c r="N57" s="51"/>
      <c r="O57" s="51"/>
      <c r="P57" s="57"/>
      <c r="Q57" s="57"/>
      <c r="R57" s="74"/>
      <c r="S57" s="74"/>
    </row>
    <row r="58" spans="1:19" s="6" customFormat="1" ht="12" customHeight="1">
      <c r="A58" s="38" t="s">
        <v>234</v>
      </c>
      <c r="B58" s="174" t="s">
        <v>183</v>
      </c>
      <c r="C58" s="175"/>
      <c r="D58" s="175"/>
      <c r="E58" s="175"/>
      <c r="F58" s="175"/>
      <c r="G58" s="175"/>
      <c r="H58" s="175"/>
      <c r="I58" s="175"/>
      <c r="J58" s="175"/>
      <c r="K58" s="175"/>
      <c r="L58" s="175"/>
      <c r="M58" s="176"/>
      <c r="N58" s="50">
        <f aca="true" t="shared" si="8" ref="N58:S58">SUM(N59:N69)</f>
        <v>10708.518</v>
      </c>
      <c r="O58" s="50">
        <f t="shared" si="8"/>
        <v>10374.14769</v>
      </c>
      <c r="P58" s="50">
        <f>SUM(P59:P70)</f>
        <v>8043.25764</v>
      </c>
      <c r="Q58" s="50">
        <f t="shared" si="8"/>
        <v>2853.1</v>
      </c>
      <c r="R58" s="50">
        <f t="shared" si="8"/>
        <v>1886</v>
      </c>
      <c r="S58" s="50">
        <f t="shared" si="8"/>
        <v>1918.6</v>
      </c>
    </row>
    <row r="59" spans="1:19" s="3" customFormat="1" ht="72.75" customHeight="1">
      <c r="A59" s="227"/>
      <c r="B59" s="195" t="s">
        <v>258</v>
      </c>
      <c r="C59" s="12"/>
      <c r="D59" s="212" t="s">
        <v>147</v>
      </c>
      <c r="E59" s="224" t="s">
        <v>1165</v>
      </c>
      <c r="F59" s="224" t="s">
        <v>1166</v>
      </c>
      <c r="G59" s="224" t="s">
        <v>1167</v>
      </c>
      <c r="H59" s="215" t="s">
        <v>446</v>
      </c>
      <c r="I59" s="215" t="s">
        <v>447</v>
      </c>
      <c r="J59" s="215" t="s">
        <v>448</v>
      </c>
      <c r="K59" s="21" t="s">
        <v>352</v>
      </c>
      <c r="L59" s="21" t="s">
        <v>353</v>
      </c>
      <c r="M59" s="21" t="s">
        <v>354</v>
      </c>
      <c r="N59" s="185">
        <f>332520/1000</f>
        <v>332.52</v>
      </c>
      <c r="O59" s="185">
        <f>(209980.96+89601)/1000</f>
        <v>299.58196</v>
      </c>
      <c r="P59" s="185">
        <f>(5402.73+116600)/1000</f>
        <v>122.00273</v>
      </c>
      <c r="Q59" s="185">
        <v>123.8</v>
      </c>
      <c r="R59" s="188">
        <v>130.2</v>
      </c>
      <c r="S59" s="188">
        <v>136.6</v>
      </c>
    </row>
    <row r="60" spans="1:19" s="3" customFormat="1" ht="84.75" customHeight="1">
      <c r="A60" s="184"/>
      <c r="B60" s="198"/>
      <c r="C60" s="12"/>
      <c r="D60" s="214"/>
      <c r="E60" s="226"/>
      <c r="F60" s="226"/>
      <c r="G60" s="226"/>
      <c r="H60" s="217"/>
      <c r="I60" s="217"/>
      <c r="J60" s="217"/>
      <c r="K60" s="29" t="s">
        <v>1074</v>
      </c>
      <c r="L60" s="23" t="s">
        <v>245</v>
      </c>
      <c r="M60" s="23" t="s">
        <v>1065</v>
      </c>
      <c r="N60" s="187"/>
      <c r="O60" s="187"/>
      <c r="P60" s="187"/>
      <c r="Q60" s="187"/>
      <c r="R60" s="189"/>
      <c r="S60" s="189"/>
    </row>
    <row r="61" spans="1:19" s="3" customFormat="1" ht="96" customHeight="1">
      <c r="A61" s="39"/>
      <c r="B61" s="11" t="s">
        <v>400</v>
      </c>
      <c r="C61" s="12"/>
      <c r="D61" s="44" t="s">
        <v>305</v>
      </c>
      <c r="E61" s="7" t="s">
        <v>514</v>
      </c>
      <c r="F61" s="7" t="s">
        <v>1168</v>
      </c>
      <c r="G61" s="10" t="s">
        <v>1169</v>
      </c>
      <c r="H61" s="7" t="s">
        <v>449</v>
      </c>
      <c r="I61" s="7" t="s">
        <v>1170</v>
      </c>
      <c r="J61" s="7" t="s">
        <v>450</v>
      </c>
      <c r="K61" s="7" t="s">
        <v>72</v>
      </c>
      <c r="L61" s="7" t="s">
        <v>24</v>
      </c>
      <c r="M61" s="7" t="s">
        <v>25</v>
      </c>
      <c r="N61" s="65">
        <f>1290800/1000</f>
        <v>1290.8</v>
      </c>
      <c r="O61" s="65">
        <f>1289774.73/1000</f>
        <v>1289.77473</v>
      </c>
      <c r="P61" s="65">
        <v>1284.8</v>
      </c>
      <c r="Q61" s="65">
        <v>1220.6</v>
      </c>
      <c r="R61" s="64">
        <v>1220.6</v>
      </c>
      <c r="S61" s="64">
        <v>1220.6</v>
      </c>
    </row>
    <row r="62" spans="1:19" s="3" customFormat="1" ht="121.5" customHeight="1">
      <c r="A62" s="39"/>
      <c r="B62" s="11" t="s">
        <v>320</v>
      </c>
      <c r="C62" s="12"/>
      <c r="D62" s="44" t="s">
        <v>295</v>
      </c>
      <c r="E62" s="66" t="s">
        <v>34</v>
      </c>
      <c r="F62" s="66" t="s">
        <v>48</v>
      </c>
      <c r="G62" s="66" t="s">
        <v>1116</v>
      </c>
      <c r="H62" s="7" t="s">
        <v>446</v>
      </c>
      <c r="I62" s="7" t="s">
        <v>447</v>
      </c>
      <c r="J62" s="7" t="s">
        <v>448</v>
      </c>
      <c r="K62" s="7" t="s">
        <v>1017</v>
      </c>
      <c r="L62" s="7" t="s">
        <v>401</v>
      </c>
      <c r="M62" s="10" t="s">
        <v>340</v>
      </c>
      <c r="N62" s="51">
        <f>335873/1000</f>
        <v>335.873</v>
      </c>
      <c r="O62" s="51">
        <f>335873/1000</f>
        <v>335.873</v>
      </c>
      <c r="P62" s="51">
        <v>300</v>
      </c>
      <c r="Q62" s="51">
        <v>1508.7</v>
      </c>
      <c r="R62" s="52">
        <v>535.2</v>
      </c>
      <c r="S62" s="52">
        <v>561.4</v>
      </c>
    </row>
    <row r="63" spans="1:19" s="3" customFormat="1" ht="97.5" customHeight="1">
      <c r="A63" s="227"/>
      <c r="B63" s="195" t="s">
        <v>359</v>
      </c>
      <c r="C63" s="19"/>
      <c r="D63" s="212" t="s">
        <v>147</v>
      </c>
      <c r="E63" s="224" t="s">
        <v>34</v>
      </c>
      <c r="F63" s="224" t="s">
        <v>48</v>
      </c>
      <c r="G63" s="224" t="s">
        <v>1116</v>
      </c>
      <c r="H63" s="215" t="s">
        <v>453</v>
      </c>
      <c r="I63" s="215" t="s">
        <v>86</v>
      </c>
      <c r="J63" s="215" t="s">
        <v>454</v>
      </c>
      <c r="K63" s="21" t="s">
        <v>358</v>
      </c>
      <c r="L63" s="28" t="s">
        <v>71</v>
      </c>
      <c r="M63" s="28" t="s">
        <v>794</v>
      </c>
      <c r="N63" s="185">
        <f>1130000/1000</f>
        <v>1130</v>
      </c>
      <c r="O63" s="185">
        <f>1130000/1000</f>
        <v>1130</v>
      </c>
      <c r="P63" s="185">
        <v>0</v>
      </c>
      <c r="Q63" s="185">
        <v>0</v>
      </c>
      <c r="R63" s="188">
        <v>0</v>
      </c>
      <c r="S63" s="188">
        <v>0</v>
      </c>
    </row>
    <row r="64" spans="1:19" s="3" customFormat="1" ht="109.5" customHeight="1">
      <c r="A64" s="184"/>
      <c r="B64" s="198"/>
      <c r="C64" s="19"/>
      <c r="D64" s="214"/>
      <c r="E64" s="226"/>
      <c r="F64" s="226"/>
      <c r="G64" s="226"/>
      <c r="H64" s="217"/>
      <c r="I64" s="217"/>
      <c r="J64" s="217"/>
      <c r="K64" s="29" t="s">
        <v>404</v>
      </c>
      <c r="L64" s="29" t="s">
        <v>86</v>
      </c>
      <c r="M64" s="29" t="s">
        <v>405</v>
      </c>
      <c r="N64" s="187"/>
      <c r="O64" s="187"/>
      <c r="P64" s="187"/>
      <c r="Q64" s="187"/>
      <c r="R64" s="189"/>
      <c r="S64" s="189"/>
    </row>
    <row r="65" spans="1:19" s="3" customFormat="1" ht="111" customHeight="1">
      <c r="A65" s="40"/>
      <c r="B65" s="69" t="s">
        <v>593</v>
      </c>
      <c r="C65" s="104"/>
      <c r="D65" s="105" t="s">
        <v>147</v>
      </c>
      <c r="E65" s="100" t="s">
        <v>34</v>
      </c>
      <c r="F65" s="100" t="s">
        <v>48</v>
      </c>
      <c r="G65" s="100" t="s">
        <v>1116</v>
      </c>
      <c r="H65" s="21" t="s">
        <v>653</v>
      </c>
      <c r="I65" s="21" t="s">
        <v>245</v>
      </c>
      <c r="J65" s="21" t="s">
        <v>654</v>
      </c>
      <c r="K65" s="33" t="s">
        <v>595</v>
      </c>
      <c r="L65" s="33" t="s">
        <v>596</v>
      </c>
      <c r="M65" s="33" t="s">
        <v>597</v>
      </c>
      <c r="N65" s="53">
        <f>273650/1000</f>
        <v>273.65</v>
      </c>
      <c r="O65" s="53">
        <f>273650/1000</f>
        <v>273.65</v>
      </c>
      <c r="P65" s="53">
        <v>0</v>
      </c>
      <c r="Q65" s="53">
        <v>0</v>
      </c>
      <c r="R65" s="56">
        <v>0</v>
      </c>
      <c r="S65" s="56">
        <v>0</v>
      </c>
    </row>
    <row r="66" spans="1:19" s="3" customFormat="1" ht="87.75" customHeight="1">
      <c r="A66" s="39"/>
      <c r="B66" s="32" t="s">
        <v>985</v>
      </c>
      <c r="C66" s="108"/>
      <c r="D66" s="112" t="s">
        <v>147</v>
      </c>
      <c r="E66" s="66" t="s">
        <v>34</v>
      </c>
      <c r="F66" s="66" t="s">
        <v>48</v>
      </c>
      <c r="G66" s="66" t="s">
        <v>1116</v>
      </c>
      <c r="H66" s="7" t="s">
        <v>986</v>
      </c>
      <c r="I66" s="7" t="s">
        <v>245</v>
      </c>
      <c r="J66" s="7" t="s">
        <v>987</v>
      </c>
      <c r="K66" s="121" t="s">
        <v>988</v>
      </c>
      <c r="L66" s="30" t="s">
        <v>431</v>
      </c>
      <c r="M66" s="30" t="s">
        <v>989</v>
      </c>
      <c r="N66" s="51">
        <v>0</v>
      </c>
      <c r="O66" s="51">
        <v>0</v>
      </c>
      <c r="P66" s="51">
        <v>1158</v>
      </c>
      <c r="Q66" s="51">
        <v>0</v>
      </c>
      <c r="R66" s="52">
        <v>0</v>
      </c>
      <c r="S66" s="52">
        <v>0</v>
      </c>
    </row>
    <row r="67" spans="1:19" s="3" customFormat="1" ht="72.75" customHeight="1">
      <c r="A67" s="42"/>
      <c r="B67" s="32" t="s">
        <v>1041</v>
      </c>
      <c r="C67" s="108"/>
      <c r="D67" s="112" t="s">
        <v>16</v>
      </c>
      <c r="E67" s="66" t="s">
        <v>34</v>
      </c>
      <c r="F67" s="66" t="s">
        <v>48</v>
      </c>
      <c r="G67" s="66" t="s">
        <v>1116</v>
      </c>
      <c r="H67" s="7" t="s">
        <v>1042</v>
      </c>
      <c r="I67" s="7" t="s">
        <v>1043</v>
      </c>
      <c r="J67" s="7" t="s">
        <v>1044</v>
      </c>
      <c r="K67" s="30" t="s">
        <v>1045</v>
      </c>
      <c r="L67" s="30" t="s">
        <v>11</v>
      </c>
      <c r="M67" s="30" t="s">
        <v>1046</v>
      </c>
      <c r="N67" s="59">
        <v>0</v>
      </c>
      <c r="O67" s="59">
        <v>0</v>
      </c>
      <c r="P67" s="59">
        <v>378.92491</v>
      </c>
      <c r="Q67" s="59">
        <v>0</v>
      </c>
      <c r="R67" s="61">
        <v>0</v>
      </c>
      <c r="S67" s="61">
        <v>0</v>
      </c>
    </row>
    <row r="68" spans="1:19" s="3" customFormat="1" ht="95.25" customHeight="1">
      <c r="A68" s="42"/>
      <c r="B68" s="32" t="s">
        <v>1093</v>
      </c>
      <c r="C68" s="106"/>
      <c r="D68" s="107" t="s">
        <v>147</v>
      </c>
      <c r="E68" s="66" t="s">
        <v>34</v>
      </c>
      <c r="F68" s="66" t="s">
        <v>48</v>
      </c>
      <c r="G68" s="66" t="s">
        <v>1116</v>
      </c>
      <c r="H68" s="23" t="s">
        <v>1105</v>
      </c>
      <c r="I68" s="23" t="s">
        <v>245</v>
      </c>
      <c r="J68" s="23" t="s">
        <v>1106</v>
      </c>
      <c r="K68" s="29" t="s">
        <v>1109</v>
      </c>
      <c r="L68" s="29" t="s">
        <v>828</v>
      </c>
      <c r="M68" s="29" t="s">
        <v>1110</v>
      </c>
      <c r="N68" s="59">
        <v>0</v>
      </c>
      <c r="O68" s="59">
        <v>0</v>
      </c>
      <c r="P68" s="59">
        <v>1799.53</v>
      </c>
      <c r="Q68" s="59">
        <v>0</v>
      </c>
      <c r="R68" s="61">
        <v>0</v>
      </c>
      <c r="S68" s="61">
        <v>0</v>
      </c>
    </row>
    <row r="69" spans="1:19" s="3" customFormat="1" ht="97.5" customHeight="1">
      <c r="A69" s="120"/>
      <c r="B69" s="101" t="s">
        <v>594</v>
      </c>
      <c r="C69" s="169"/>
      <c r="D69" s="170" t="s">
        <v>147</v>
      </c>
      <c r="E69" s="66" t="s">
        <v>34</v>
      </c>
      <c r="F69" s="66" t="s">
        <v>48</v>
      </c>
      <c r="G69" s="66" t="s">
        <v>1116</v>
      </c>
      <c r="H69" s="22" t="s">
        <v>651</v>
      </c>
      <c r="I69" s="22" t="s">
        <v>245</v>
      </c>
      <c r="J69" s="22" t="s">
        <v>652</v>
      </c>
      <c r="K69" s="92" t="s">
        <v>598</v>
      </c>
      <c r="L69" s="92" t="s">
        <v>431</v>
      </c>
      <c r="M69" s="92" t="s">
        <v>599</v>
      </c>
      <c r="N69" s="54">
        <f>7345675/1000</f>
        <v>7345.675</v>
      </c>
      <c r="O69" s="54">
        <f>7045268/1000</f>
        <v>7045.268</v>
      </c>
      <c r="P69" s="54">
        <v>0</v>
      </c>
      <c r="Q69" s="54">
        <v>0</v>
      </c>
      <c r="R69" s="67">
        <v>0</v>
      </c>
      <c r="S69" s="67">
        <v>0</v>
      </c>
    </row>
    <row r="70" spans="1:19" s="3" customFormat="1" ht="107.25" customHeight="1">
      <c r="A70" s="39"/>
      <c r="B70" s="32" t="s">
        <v>1559</v>
      </c>
      <c r="C70" s="108"/>
      <c r="D70" s="112" t="s">
        <v>143</v>
      </c>
      <c r="E70" s="124" t="s">
        <v>34</v>
      </c>
      <c r="F70" s="124" t="s">
        <v>48</v>
      </c>
      <c r="G70" s="124" t="s">
        <v>1116</v>
      </c>
      <c r="H70" s="130" t="s">
        <v>1495</v>
      </c>
      <c r="I70" s="130" t="s">
        <v>1496</v>
      </c>
      <c r="J70" s="130" t="s">
        <v>1492</v>
      </c>
      <c r="K70" s="30" t="s">
        <v>810</v>
      </c>
      <c r="L70" s="30"/>
      <c r="M70" s="30"/>
      <c r="N70" s="51">
        <v>0</v>
      </c>
      <c r="O70" s="51">
        <v>0</v>
      </c>
      <c r="P70" s="51">
        <v>3000</v>
      </c>
      <c r="Q70" s="51">
        <v>0</v>
      </c>
      <c r="R70" s="52">
        <v>0</v>
      </c>
      <c r="S70" s="52">
        <v>0</v>
      </c>
    </row>
    <row r="71" spans="1:19" s="2" customFormat="1" ht="11.25" customHeight="1">
      <c r="A71" s="38" t="s">
        <v>285</v>
      </c>
      <c r="B71" s="174" t="s">
        <v>286</v>
      </c>
      <c r="C71" s="175"/>
      <c r="D71" s="175"/>
      <c r="E71" s="175"/>
      <c r="F71" s="175"/>
      <c r="G71" s="175"/>
      <c r="H71" s="175"/>
      <c r="I71" s="175"/>
      <c r="J71" s="175"/>
      <c r="K71" s="175"/>
      <c r="L71" s="175"/>
      <c r="M71" s="176"/>
      <c r="N71" s="51"/>
      <c r="O71" s="51"/>
      <c r="P71" s="51"/>
      <c r="Q71" s="57"/>
      <c r="R71" s="74"/>
      <c r="S71" s="74"/>
    </row>
    <row r="72" spans="1:19" s="2" customFormat="1" ht="11.25" customHeight="1">
      <c r="A72" s="38" t="s">
        <v>233</v>
      </c>
      <c r="B72" s="174" t="s">
        <v>92</v>
      </c>
      <c r="C72" s="175"/>
      <c r="D72" s="175"/>
      <c r="E72" s="175"/>
      <c r="F72" s="175"/>
      <c r="G72" s="175"/>
      <c r="H72" s="175"/>
      <c r="I72" s="175"/>
      <c r="J72" s="175"/>
      <c r="K72" s="175"/>
      <c r="L72" s="175"/>
      <c r="M72" s="176"/>
      <c r="N72" s="51"/>
      <c r="O72" s="51"/>
      <c r="P72" s="51"/>
      <c r="Q72" s="57"/>
      <c r="R72" s="74"/>
      <c r="S72" s="74"/>
    </row>
    <row r="73" spans="1:19" s="2" customFormat="1" ht="36" customHeight="1">
      <c r="A73" s="38" t="s">
        <v>97</v>
      </c>
      <c r="B73" s="174" t="s">
        <v>1122</v>
      </c>
      <c r="C73" s="175"/>
      <c r="D73" s="175"/>
      <c r="E73" s="175"/>
      <c r="F73" s="175"/>
      <c r="G73" s="175"/>
      <c r="H73" s="175"/>
      <c r="I73" s="175"/>
      <c r="J73" s="175"/>
      <c r="K73" s="175"/>
      <c r="L73" s="175"/>
      <c r="M73" s="176"/>
      <c r="N73" s="50">
        <f aca="true" t="shared" si="9" ref="N73:S73">SUM(N74:N148)</f>
        <v>250893.52669</v>
      </c>
      <c r="O73" s="50">
        <f t="shared" si="9"/>
        <v>249056.60312999997</v>
      </c>
      <c r="P73" s="50">
        <f t="shared" si="9"/>
        <v>296239.60891</v>
      </c>
      <c r="Q73" s="50">
        <f t="shared" si="9"/>
        <v>248225</v>
      </c>
      <c r="R73" s="50">
        <f t="shared" si="9"/>
        <v>247496.8</v>
      </c>
      <c r="S73" s="50">
        <f t="shared" si="9"/>
        <v>268864.6</v>
      </c>
    </row>
    <row r="74" spans="1:19" s="3" customFormat="1" ht="102" customHeight="1">
      <c r="A74" s="41"/>
      <c r="B74" s="25" t="s">
        <v>221</v>
      </c>
      <c r="C74" s="258"/>
      <c r="D74" s="45" t="s">
        <v>222</v>
      </c>
      <c r="E74" s="21" t="s">
        <v>34</v>
      </c>
      <c r="F74" s="21" t="s">
        <v>269</v>
      </c>
      <c r="G74" s="21" t="s">
        <v>1116</v>
      </c>
      <c r="H74" s="215" t="s">
        <v>176</v>
      </c>
      <c r="I74" s="215" t="s">
        <v>182</v>
      </c>
      <c r="J74" s="215" t="s">
        <v>225</v>
      </c>
      <c r="K74" s="21" t="s">
        <v>1075</v>
      </c>
      <c r="L74" s="21" t="s">
        <v>165</v>
      </c>
      <c r="M74" s="21" t="s">
        <v>33</v>
      </c>
      <c r="N74" s="185">
        <f>95792397.34/1000</f>
        <v>95792.39734000001</v>
      </c>
      <c r="O74" s="185">
        <f>95659681/1000</f>
        <v>95659.681</v>
      </c>
      <c r="P74" s="185">
        <f>(105343556.94+1000000+19100+316158.09+79754.78+18257+230316+413955.72+1047+85588)/1000</f>
        <v>107507.73353</v>
      </c>
      <c r="Q74" s="185">
        <v>99748</v>
      </c>
      <c r="R74" s="188">
        <v>101480.8</v>
      </c>
      <c r="S74" s="188">
        <v>102941.8</v>
      </c>
    </row>
    <row r="75" spans="1:19" s="3" customFormat="1" ht="48.75" customHeight="1">
      <c r="A75" s="97"/>
      <c r="B75" s="93"/>
      <c r="C75" s="258"/>
      <c r="D75" s="87"/>
      <c r="E75" s="22" t="s">
        <v>267</v>
      </c>
      <c r="F75" s="22" t="s">
        <v>1171</v>
      </c>
      <c r="G75" s="22" t="s">
        <v>1172</v>
      </c>
      <c r="H75" s="216"/>
      <c r="I75" s="216"/>
      <c r="J75" s="216"/>
      <c r="K75" s="216" t="s">
        <v>788</v>
      </c>
      <c r="L75" s="216" t="s">
        <v>236</v>
      </c>
      <c r="M75" s="216" t="s">
        <v>33</v>
      </c>
      <c r="N75" s="186"/>
      <c r="O75" s="186"/>
      <c r="P75" s="186"/>
      <c r="Q75" s="186"/>
      <c r="R75" s="190"/>
      <c r="S75" s="190"/>
    </row>
    <row r="76" spans="1:19" s="3" customFormat="1" ht="44.25" customHeight="1">
      <c r="A76" s="97"/>
      <c r="B76" s="93"/>
      <c r="C76" s="258"/>
      <c r="D76" s="87"/>
      <c r="E76" s="22" t="s">
        <v>237</v>
      </c>
      <c r="F76" s="22" t="s">
        <v>1136</v>
      </c>
      <c r="G76" s="22" t="s">
        <v>240</v>
      </c>
      <c r="H76" s="216" t="s">
        <v>264</v>
      </c>
      <c r="I76" s="216" t="s">
        <v>115</v>
      </c>
      <c r="J76" s="216" t="s">
        <v>195</v>
      </c>
      <c r="K76" s="216"/>
      <c r="L76" s="216"/>
      <c r="M76" s="216"/>
      <c r="N76" s="186"/>
      <c r="O76" s="186"/>
      <c r="P76" s="186"/>
      <c r="Q76" s="186"/>
      <c r="R76" s="190"/>
      <c r="S76" s="190"/>
    </row>
    <row r="77" spans="1:19" s="3" customFormat="1" ht="122.25" customHeight="1">
      <c r="A77" s="97"/>
      <c r="B77" s="93"/>
      <c r="C77" s="258"/>
      <c r="D77" s="87"/>
      <c r="E77" s="22" t="s">
        <v>42</v>
      </c>
      <c r="F77" s="22" t="s">
        <v>239</v>
      </c>
      <c r="G77" s="22" t="s">
        <v>114</v>
      </c>
      <c r="H77" s="216"/>
      <c r="I77" s="216"/>
      <c r="J77" s="216"/>
      <c r="K77" s="216"/>
      <c r="L77" s="216"/>
      <c r="M77" s="216"/>
      <c r="N77" s="186"/>
      <c r="O77" s="186"/>
      <c r="P77" s="186"/>
      <c r="Q77" s="186"/>
      <c r="R77" s="190"/>
      <c r="S77" s="190"/>
    </row>
    <row r="78" spans="1:19" s="3" customFormat="1" ht="84.75" customHeight="1">
      <c r="A78" s="97"/>
      <c r="B78" s="93"/>
      <c r="C78" s="12"/>
      <c r="D78" s="89"/>
      <c r="E78" s="23" t="s">
        <v>267</v>
      </c>
      <c r="F78" s="23" t="s">
        <v>160</v>
      </c>
      <c r="G78" s="23" t="s">
        <v>1172</v>
      </c>
      <c r="H78" s="23" t="s">
        <v>176</v>
      </c>
      <c r="I78" s="23" t="s">
        <v>161</v>
      </c>
      <c r="J78" s="84" t="s">
        <v>162</v>
      </c>
      <c r="K78" s="23" t="s">
        <v>174</v>
      </c>
      <c r="L78" s="23" t="s">
        <v>163</v>
      </c>
      <c r="M78" s="23" t="s">
        <v>33</v>
      </c>
      <c r="N78" s="59"/>
      <c r="O78" s="59"/>
      <c r="P78" s="95"/>
      <c r="Q78" s="59"/>
      <c r="R78" s="61"/>
      <c r="S78" s="61"/>
    </row>
    <row r="79" spans="1:19" s="3" customFormat="1" ht="43.5" customHeight="1">
      <c r="A79" s="227"/>
      <c r="B79" s="254" t="s">
        <v>141</v>
      </c>
      <c r="C79" s="258"/>
      <c r="D79" s="45" t="s">
        <v>222</v>
      </c>
      <c r="E79" s="211" t="s">
        <v>267</v>
      </c>
      <c r="F79" s="211" t="s">
        <v>160</v>
      </c>
      <c r="G79" s="211" t="s">
        <v>1172</v>
      </c>
      <c r="H79" s="211" t="s">
        <v>176</v>
      </c>
      <c r="I79" s="211" t="s">
        <v>161</v>
      </c>
      <c r="J79" s="266" t="s">
        <v>162</v>
      </c>
      <c r="K79" s="211" t="s">
        <v>174</v>
      </c>
      <c r="L79" s="211" t="s">
        <v>163</v>
      </c>
      <c r="M79" s="211" t="s">
        <v>33</v>
      </c>
      <c r="N79" s="53">
        <f>190400/1000</f>
        <v>190.4</v>
      </c>
      <c r="O79" s="53">
        <f>190300/1000</f>
        <v>190.3</v>
      </c>
      <c r="P79" s="94"/>
      <c r="Q79" s="53"/>
      <c r="R79" s="56"/>
      <c r="S79" s="56"/>
    </row>
    <row r="80" spans="1:19" s="3" customFormat="1" ht="39.75" customHeight="1">
      <c r="A80" s="184"/>
      <c r="B80" s="254"/>
      <c r="C80" s="258"/>
      <c r="D80" s="48" t="s">
        <v>16</v>
      </c>
      <c r="E80" s="211"/>
      <c r="F80" s="211"/>
      <c r="G80" s="211"/>
      <c r="H80" s="211"/>
      <c r="I80" s="211"/>
      <c r="J80" s="211"/>
      <c r="K80" s="211"/>
      <c r="L80" s="211"/>
      <c r="M80" s="211"/>
      <c r="N80" s="59">
        <f>112750/1000</f>
        <v>112.75</v>
      </c>
      <c r="O80" s="59">
        <f>110450/1000</f>
        <v>110.45</v>
      </c>
      <c r="P80" s="95"/>
      <c r="Q80" s="59"/>
      <c r="R80" s="61"/>
      <c r="S80" s="61"/>
    </row>
    <row r="81" spans="1:19" s="3" customFormat="1" ht="96" customHeight="1">
      <c r="A81" s="41"/>
      <c r="B81" s="195" t="s">
        <v>109</v>
      </c>
      <c r="C81" s="19"/>
      <c r="D81" s="88" t="s">
        <v>16</v>
      </c>
      <c r="E81" s="21" t="s">
        <v>34</v>
      </c>
      <c r="F81" s="21" t="s">
        <v>269</v>
      </c>
      <c r="G81" s="21" t="s">
        <v>1116</v>
      </c>
      <c r="H81" s="215" t="s">
        <v>176</v>
      </c>
      <c r="I81" s="215" t="s">
        <v>182</v>
      </c>
      <c r="J81" s="228" t="s">
        <v>162</v>
      </c>
      <c r="K81" s="21" t="s">
        <v>1018</v>
      </c>
      <c r="L81" s="21" t="s">
        <v>86</v>
      </c>
      <c r="M81" s="21" t="s">
        <v>124</v>
      </c>
      <c r="N81" s="185">
        <f>46173521.39/1000</f>
        <v>46173.52139</v>
      </c>
      <c r="O81" s="185">
        <f>45418598.62/1000</f>
        <v>45418.59862</v>
      </c>
      <c r="P81" s="185">
        <f>(39500034.83+64209+100000+262354.8+4666021.23+382756.06+15817.53+94960+292307.04+109087.94+2142655.81+65791+2347+3329.99+156077.78+49072.03+34864.36)/1000</f>
        <v>47941.686400000006</v>
      </c>
      <c r="Q81" s="185">
        <v>64685.4</v>
      </c>
      <c r="R81" s="188">
        <v>71356.5</v>
      </c>
      <c r="S81" s="188">
        <v>75876.7</v>
      </c>
    </row>
    <row r="82" spans="1:19" s="3" customFormat="1" ht="60" customHeight="1">
      <c r="A82" s="97"/>
      <c r="B82" s="196"/>
      <c r="C82" s="73"/>
      <c r="D82" s="87"/>
      <c r="E82" s="22" t="s">
        <v>267</v>
      </c>
      <c r="F82" s="22" t="s">
        <v>455</v>
      </c>
      <c r="G82" s="22" t="s">
        <v>1172</v>
      </c>
      <c r="H82" s="216"/>
      <c r="I82" s="216"/>
      <c r="J82" s="229"/>
      <c r="K82" s="92" t="s">
        <v>406</v>
      </c>
      <c r="L82" s="92" t="s">
        <v>194</v>
      </c>
      <c r="M82" s="92" t="s">
        <v>407</v>
      </c>
      <c r="N82" s="186"/>
      <c r="O82" s="186"/>
      <c r="P82" s="186"/>
      <c r="Q82" s="186"/>
      <c r="R82" s="190"/>
      <c r="S82" s="190"/>
    </row>
    <row r="83" spans="1:19" s="3" customFormat="1" ht="74.25" customHeight="1">
      <c r="A83" s="97"/>
      <c r="B83" s="93"/>
      <c r="C83" s="268"/>
      <c r="D83" s="87"/>
      <c r="E83" s="22" t="s">
        <v>237</v>
      </c>
      <c r="F83" s="22" t="s">
        <v>1136</v>
      </c>
      <c r="G83" s="22" t="s">
        <v>240</v>
      </c>
      <c r="H83" s="216" t="s">
        <v>264</v>
      </c>
      <c r="I83" s="216" t="s">
        <v>115</v>
      </c>
      <c r="J83" s="216" t="s">
        <v>195</v>
      </c>
      <c r="K83" s="216" t="s">
        <v>788</v>
      </c>
      <c r="L83" s="216" t="s">
        <v>236</v>
      </c>
      <c r="M83" s="216" t="s">
        <v>33</v>
      </c>
      <c r="N83" s="186"/>
      <c r="O83" s="186"/>
      <c r="P83" s="186"/>
      <c r="Q83" s="186"/>
      <c r="R83" s="190"/>
      <c r="S83" s="190"/>
    </row>
    <row r="84" spans="1:19" s="3" customFormat="1" ht="141.75" customHeight="1">
      <c r="A84" s="97"/>
      <c r="B84" s="93"/>
      <c r="C84" s="236"/>
      <c r="D84" s="87"/>
      <c r="E84" s="22" t="s">
        <v>42</v>
      </c>
      <c r="F84" s="22" t="s">
        <v>239</v>
      </c>
      <c r="G84" s="22" t="s">
        <v>114</v>
      </c>
      <c r="H84" s="216"/>
      <c r="I84" s="216"/>
      <c r="J84" s="216"/>
      <c r="K84" s="216"/>
      <c r="L84" s="216"/>
      <c r="M84" s="216"/>
      <c r="N84" s="186"/>
      <c r="O84" s="186"/>
      <c r="P84" s="186"/>
      <c r="Q84" s="186"/>
      <c r="R84" s="190"/>
      <c r="S84" s="190"/>
    </row>
    <row r="85" spans="1:19" s="3" customFormat="1" ht="48" customHeight="1">
      <c r="A85" s="97"/>
      <c r="B85" s="93"/>
      <c r="C85" s="12"/>
      <c r="D85" s="87"/>
      <c r="E85" s="22"/>
      <c r="F85" s="22"/>
      <c r="G85" s="22"/>
      <c r="H85" s="22"/>
      <c r="I85" s="22"/>
      <c r="J85" s="22"/>
      <c r="K85" s="22" t="s">
        <v>185</v>
      </c>
      <c r="L85" s="22" t="s">
        <v>245</v>
      </c>
      <c r="M85" s="22" t="s">
        <v>186</v>
      </c>
      <c r="N85" s="54">
        <f>1390306/1000</f>
        <v>1390.306</v>
      </c>
      <c r="O85" s="54">
        <f>1390268.48/1000</f>
        <v>1390.26848</v>
      </c>
      <c r="P85" s="54">
        <v>0</v>
      </c>
      <c r="Q85" s="54">
        <v>0</v>
      </c>
      <c r="R85" s="67">
        <v>0</v>
      </c>
      <c r="S85" s="67">
        <v>0</v>
      </c>
    </row>
    <row r="86" spans="1:19" s="3" customFormat="1" ht="120" customHeight="1">
      <c r="A86" s="97"/>
      <c r="B86" s="93"/>
      <c r="C86" s="12"/>
      <c r="D86" s="87"/>
      <c r="E86" s="22"/>
      <c r="F86" s="22"/>
      <c r="G86" s="22"/>
      <c r="H86" s="22"/>
      <c r="I86" s="22"/>
      <c r="J86" s="22"/>
      <c r="K86" s="22" t="s">
        <v>949</v>
      </c>
      <c r="L86" s="22" t="s">
        <v>245</v>
      </c>
      <c r="M86" s="22" t="s">
        <v>950</v>
      </c>
      <c r="N86" s="54"/>
      <c r="O86" s="54"/>
      <c r="P86" s="54"/>
      <c r="Q86" s="54"/>
      <c r="R86" s="67"/>
      <c r="S86" s="67"/>
    </row>
    <row r="87" spans="1:19" s="3" customFormat="1" ht="85.5" customHeight="1">
      <c r="A87" s="96"/>
      <c r="B87" s="85"/>
      <c r="C87" s="12"/>
      <c r="D87" s="89"/>
      <c r="E87" s="23"/>
      <c r="F87" s="23"/>
      <c r="G87" s="23"/>
      <c r="H87" s="23"/>
      <c r="I87" s="23"/>
      <c r="J87" s="23"/>
      <c r="K87" s="23" t="s">
        <v>793</v>
      </c>
      <c r="L87" s="23" t="s">
        <v>245</v>
      </c>
      <c r="M87" s="23" t="s">
        <v>175</v>
      </c>
      <c r="N87" s="59">
        <f>118468/1000</f>
        <v>118.468</v>
      </c>
      <c r="O87" s="59">
        <f>118468/1000</f>
        <v>118.468</v>
      </c>
      <c r="P87" s="59">
        <v>0</v>
      </c>
      <c r="Q87" s="59">
        <v>0</v>
      </c>
      <c r="R87" s="61">
        <v>0</v>
      </c>
      <c r="S87" s="61">
        <v>0</v>
      </c>
    </row>
    <row r="88" spans="1:19" s="3" customFormat="1" ht="73.5" customHeight="1">
      <c r="A88" s="39"/>
      <c r="B88" s="11" t="s">
        <v>692</v>
      </c>
      <c r="C88" s="12"/>
      <c r="D88" s="44" t="s">
        <v>16</v>
      </c>
      <c r="E88" s="7" t="s">
        <v>267</v>
      </c>
      <c r="F88" s="7" t="s">
        <v>268</v>
      </c>
      <c r="G88" s="7" t="s">
        <v>1172</v>
      </c>
      <c r="H88" s="7" t="s">
        <v>898</v>
      </c>
      <c r="I88" s="7" t="s">
        <v>899</v>
      </c>
      <c r="J88" s="7" t="s">
        <v>408</v>
      </c>
      <c r="K88" s="7" t="s">
        <v>1581</v>
      </c>
      <c r="L88" s="7" t="s">
        <v>245</v>
      </c>
      <c r="M88" s="10" t="s">
        <v>124</v>
      </c>
      <c r="N88" s="51">
        <f>3563000/1000</f>
        <v>3563</v>
      </c>
      <c r="O88" s="51">
        <f>3475642.02/1000</f>
        <v>3475.6420200000002</v>
      </c>
      <c r="P88" s="51">
        <f>(222333+3184667)/1000</f>
        <v>3407</v>
      </c>
      <c r="Q88" s="51">
        <v>3243</v>
      </c>
      <c r="R88" s="52">
        <v>3243</v>
      </c>
      <c r="S88" s="52">
        <v>3243</v>
      </c>
    </row>
    <row r="89" spans="1:19" s="3" customFormat="1" ht="239.25" customHeight="1">
      <c r="A89" s="39"/>
      <c r="B89" s="32" t="s">
        <v>953</v>
      </c>
      <c r="C89" s="12"/>
      <c r="D89" s="45" t="s">
        <v>16</v>
      </c>
      <c r="E89" s="21" t="s">
        <v>975</v>
      </c>
      <c r="F89" s="21" t="s">
        <v>245</v>
      </c>
      <c r="G89" s="21" t="s">
        <v>348</v>
      </c>
      <c r="H89" s="21" t="s">
        <v>973</v>
      </c>
      <c r="I89" s="21" t="s">
        <v>245</v>
      </c>
      <c r="J89" s="21" t="s">
        <v>974</v>
      </c>
      <c r="K89" s="30" t="s">
        <v>951</v>
      </c>
      <c r="L89" s="30" t="s">
        <v>245</v>
      </c>
      <c r="M89" s="68" t="s">
        <v>952</v>
      </c>
      <c r="N89" s="53">
        <v>0</v>
      </c>
      <c r="O89" s="53">
        <v>0</v>
      </c>
      <c r="P89" s="53">
        <v>202</v>
      </c>
      <c r="Q89" s="53">
        <v>0</v>
      </c>
      <c r="R89" s="56">
        <v>0</v>
      </c>
      <c r="S89" s="56">
        <v>0</v>
      </c>
    </row>
    <row r="90" spans="1:19" s="3" customFormat="1" ht="34.5" customHeight="1">
      <c r="A90" s="248"/>
      <c r="B90" s="254" t="s">
        <v>266</v>
      </c>
      <c r="C90" s="12"/>
      <c r="D90" s="45" t="s">
        <v>222</v>
      </c>
      <c r="E90" s="21" t="s">
        <v>267</v>
      </c>
      <c r="F90" s="21" t="s">
        <v>455</v>
      </c>
      <c r="G90" s="21" t="s">
        <v>1172</v>
      </c>
      <c r="H90" s="215" t="s">
        <v>176</v>
      </c>
      <c r="I90" s="215" t="s">
        <v>182</v>
      </c>
      <c r="J90" s="215" t="s">
        <v>162</v>
      </c>
      <c r="K90" s="211" t="s">
        <v>420</v>
      </c>
      <c r="L90" s="215" t="s">
        <v>401</v>
      </c>
      <c r="M90" s="215" t="s">
        <v>340</v>
      </c>
      <c r="N90" s="58">
        <f>2712802.2/1000</f>
        <v>2712.8022</v>
      </c>
      <c r="O90" s="53">
        <f>2712770.97/1000</f>
        <v>2712.77097</v>
      </c>
      <c r="P90" s="53">
        <v>2111.321</v>
      </c>
      <c r="Q90" s="185">
        <v>13465</v>
      </c>
      <c r="R90" s="188">
        <v>14115.2</v>
      </c>
      <c r="S90" s="188">
        <v>28417</v>
      </c>
    </row>
    <row r="91" spans="1:19" s="3" customFormat="1" ht="31.5" customHeight="1">
      <c r="A91" s="248"/>
      <c r="B91" s="254"/>
      <c r="C91" s="12"/>
      <c r="D91" s="46" t="s">
        <v>16</v>
      </c>
      <c r="E91" s="216" t="s">
        <v>34</v>
      </c>
      <c r="F91" s="216" t="s">
        <v>269</v>
      </c>
      <c r="G91" s="216" t="s">
        <v>1116</v>
      </c>
      <c r="H91" s="216"/>
      <c r="I91" s="216"/>
      <c r="J91" s="216"/>
      <c r="K91" s="211"/>
      <c r="L91" s="216"/>
      <c r="M91" s="216"/>
      <c r="N91" s="62">
        <f>4754628.8/1000</f>
        <v>4754.6287999999995</v>
      </c>
      <c r="O91" s="54">
        <f>4753263.8/1000</f>
        <v>4753.2638</v>
      </c>
      <c r="P91" s="54">
        <f>(2371853.59+18699.12+139080)/1000</f>
        <v>2529.63271</v>
      </c>
      <c r="Q91" s="186"/>
      <c r="R91" s="190"/>
      <c r="S91" s="190"/>
    </row>
    <row r="92" spans="1:19" s="3" customFormat="1" ht="31.5" customHeight="1">
      <c r="A92" s="248"/>
      <c r="B92" s="254"/>
      <c r="C92" s="12"/>
      <c r="D92" s="48" t="s">
        <v>16</v>
      </c>
      <c r="E92" s="217"/>
      <c r="F92" s="217"/>
      <c r="G92" s="217"/>
      <c r="H92" s="217"/>
      <c r="I92" s="217"/>
      <c r="J92" s="217"/>
      <c r="K92" s="211"/>
      <c r="L92" s="217"/>
      <c r="M92" s="217"/>
      <c r="N92" s="60">
        <f>450000/1000</f>
        <v>450</v>
      </c>
      <c r="O92" s="59">
        <f>450000/1000</f>
        <v>450</v>
      </c>
      <c r="P92" s="59">
        <v>427.45</v>
      </c>
      <c r="Q92" s="187"/>
      <c r="R92" s="189"/>
      <c r="S92" s="189"/>
    </row>
    <row r="93" spans="1:19" s="3" customFormat="1" ht="60" customHeight="1">
      <c r="A93" s="227"/>
      <c r="B93" s="195" t="s">
        <v>117</v>
      </c>
      <c r="C93" s="12"/>
      <c r="D93" s="212" t="s">
        <v>16</v>
      </c>
      <c r="E93" s="215" t="s">
        <v>267</v>
      </c>
      <c r="F93" s="215" t="s">
        <v>69</v>
      </c>
      <c r="G93" s="215" t="s">
        <v>1172</v>
      </c>
      <c r="H93" s="215" t="s">
        <v>176</v>
      </c>
      <c r="I93" s="215" t="s">
        <v>182</v>
      </c>
      <c r="J93" s="215" t="s">
        <v>162</v>
      </c>
      <c r="K93" s="21" t="s">
        <v>164</v>
      </c>
      <c r="L93" s="21" t="s">
        <v>165</v>
      </c>
      <c r="M93" s="83" t="s">
        <v>33</v>
      </c>
      <c r="N93" s="185">
        <f>36787409.96/1000</f>
        <v>36787.409960000005</v>
      </c>
      <c r="O93" s="185">
        <f>36782635.88/1000</f>
        <v>36782.63588</v>
      </c>
      <c r="P93" s="185">
        <f>(38083300+27000+45500+1082408.38+347537.9)/1000</f>
        <v>39585.74628</v>
      </c>
      <c r="Q93" s="185">
        <v>40438.7</v>
      </c>
      <c r="R93" s="188">
        <v>41435</v>
      </c>
      <c r="S93" s="188">
        <v>41934.5</v>
      </c>
    </row>
    <row r="94" spans="1:19" s="3" customFormat="1" ht="120" customHeight="1">
      <c r="A94" s="183"/>
      <c r="B94" s="196"/>
      <c r="C94" s="73"/>
      <c r="D94" s="213"/>
      <c r="E94" s="216"/>
      <c r="F94" s="216"/>
      <c r="G94" s="216"/>
      <c r="H94" s="216"/>
      <c r="I94" s="216"/>
      <c r="J94" s="216"/>
      <c r="K94" s="22" t="s">
        <v>1563</v>
      </c>
      <c r="L94" s="22" t="s">
        <v>245</v>
      </c>
      <c r="M94" s="162" t="s">
        <v>1564</v>
      </c>
      <c r="N94" s="186"/>
      <c r="O94" s="186"/>
      <c r="P94" s="186"/>
      <c r="Q94" s="186"/>
      <c r="R94" s="190"/>
      <c r="S94" s="190"/>
    </row>
    <row r="95" spans="1:19" s="3" customFormat="1" ht="75" customHeight="1">
      <c r="A95" s="183"/>
      <c r="B95" s="196"/>
      <c r="C95" s="268"/>
      <c r="D95" s="213"/>
      <c r="E95" s="22" t="s">
        <v>237</v>
      </c>
      <c r="F95" s="22" t="s">
        <v>1136</v>
      </c>
      <c r="G95" s="22" t="s">
        <v>240</v>
      </c>
      <c r="H95" s="216" t="s">
        <v>264</v>
      </c>
      <c r="I95" s="216" t="s">
        <v>115</v>
      </c>
      <c r="J95" s="216" t="s">
        <v>195</v>
      </c>
      <c r="K95" s="216" t="s">
        <v>788</v>
      </c>
      <c r="L95" s="216" t="s">
        <v>236</v>
      </c>
      <c r="M95" s="216" t="s">
        <v>33</v>
      </c>
      <c r="N95" s="186"/>
      <c r="O95" s="186"/>
      <c r="P95" s="186"/>
      <c r="Q95" s="186"/>
      <c r="R95" s="190"/>
      <c r="S95" s="190"/>
    </row>
    <row r="96" spans="1:19" s="3" customFormat="1" ht="140.25" customHeight="1">
      <c r="A96" s="184"/>
      <c r="B96" s="198"/>
      <c r="C96" s="236"/>
      <c r="D96" s="214"/>
      <c r="E96" s="23" t="s">
        <v>42</v>
      </c>
      <c r="F96" s="23" t="s">
        <v>239</v>
      </c>
      <c r="G96" s="23" t="s">
        <v>114</v>
      </c>
      <c r="H96" s="217"/>
      <c r="I96" s="217"/>
      <c r="J96" s="217"/>
      <c r="K96" s="217"/>
      <c r="L96" s="217"/>
      <c r="M96" s="217"/>
      <c r="N96" s="187"/>
      <c r="O96" s="187"/>
      <c r="P96" s="187"/>
      <c r="Q96" s="187"/>
      <c r="R96" s="189"/>
      <c r="S96" s="189"/>
    </row>
    <row r="97" spans="1:19" s="3" customFormat="1" ht="71.25" customHeight="1">
      <c r="A97" s="227"/>
      <c r="B97" s="195" t="s">
        <v>10</v>
      </c>
      <c r="C97" s="19"/>
      <c r="D97" s="45" t="s">
        <v>16</v>
      </c>
      <c r="E97" s="215" t="s">
        <v>267</v>
      </c>
      <c r="F97" s="215" t="s">
        <v>268</v>
      </c>
      <c r="G97" s="215" t="s">
        <v>1172</v>
      </c>
      <c r="H97" s="215"/>
      <c r="I97" s="215"/>
      <c r="J97" s="215"/>
      <c r="K97" s="21" t="s">
        <v>1076</v>
      </c>
      <c r="L97" s="21" t="s">
        <v>245</v>
      </c>
      <c r="M97" s="83" t="s">
        <v>124</v>
      </c>
      <c r="N97" s="53">
        <f>3314359/1000</f>
        <v>3314.359</v>
      </c>
      <c r="O97" s="53">
        <f>3296275.2/1000</f>
        <v>3296.2752</v>
      </c>
      <c r="P97" s="53">
        <f>(499751.41+244155.59+3347088.99+9900)/1000</f>
        <v>4100.89599</v>
      </c>
      <c r="Q97" s="53">
        <v>4346</v>
      </c>
      <c r="R97" s="56">
        <v>4572</v>
      </c>
      <c r="S97" s="56">
        <v>4796</v>
      </c>
    </row>
    <row r="98" spans="1:19" s="3" customFormat="1" ht="134.25" customHeight="1">
      <c r="A98" s="184"/>
      <c r="B98" s="198"/>
      <c r="C98" s="20"/>
      <c r="D98" s="48" t="s">
        <v>222</v>
      </c>
      <c r="E98" s="217"/>
      <c r="F98" s="217"/>
      <c r="G98" s="217"/>
      <c r="H98" s="217"/>
      <c r="I98" s="217"/>
      <c r="J98" s="217"/>
      <c r="K98" s="29" t="s">
        <v>946</v>
      </c>
      <c r="L98" s="29" t="s">
        <v>194</v>
      </c>
      <c r="M98" s="71" t="s">
        <v>822</v>
      </c>
      <c r="N98" s="59">
        <v>0</v>
      </c>
      <c r="O98" s="59">
        <v>0</v>
      </c>
      <c r="P98" s="59">
        <v>30.798</v>
      </c>
      <c r="Q98" s="59">
        <v>0</v>
      </c>
      <c r="R98" s="61">
        <v>0</v>
      </c>
      <c r="S98" s="61">
        <v>0</v>
      </c>
    </row>
    <row r="99" spans="1:19" s="3" customFormat="1" ht="95.25" customHeight="1">
      <c r="A99" s="39"/>
      <c r="B99" s="11" t="s">
        <v>302</v>
      </c>
      <c r="C99" s="12"/>
      <c r="D99" s="44" t="s">
        <v>16</v>
      </c>
      <c r="E99" s="7" t="s">
        <v>267</v>
      </c>
      <c r="F99" s="7" t="s">
        <v>268</v>
      </c>
      <c r="G99" s="7" t="s">
        <v>1172</v>
      </c>
      <c r="H99" s="23" t="s">
        <v>456</v>
      </c>
      <c r="I99" s="23" t="s">
        <v>457</v>
      </c>
      <c r="J99" s="23" t="s">
        <v>428</v>
      </c>
      <c r="K99" s="7" t="s">
        <v>420</v>
      </c>
      <c r="L99" s="7" t="s">
        <v>401</v>
      </c>
      <c r="M99" s="10" t="s">
        <v>340</v>
      </c>
      <c r="N99" s="51">
        <f>378000/1000</f>
        <v>378</v>
      </c>
      <c r="O99" s="51">
        <f>378000/1000</f>
        <v>378</v>
      </c>
      <c r="P99" s="51">
        <v>0</v>
      </c>
      <c r="Q99" s="51">
        <v>0</v>
      </c>
      <c r="R99" s="52">
        <v>0</v>
      </c>
      <c r="S99" s="52">
        <v>0</v>
      </c>
    </row>
    <row r="100" spans="1:19" s="3" customFormat="1" ht="108.75" customHeight="1">
      <c r="A100" s="39"/>
      <c r="B100" s="11" t="s">
        <v>87</v>
      </c>
      <c r="C100" s="12"/>
      <c r="D100" s="44" t="s">
        <v>16</v>
      </c>
      <c r="E100" s="7" t="s">
        <v>267</v>
      </c>
      <c r="F100" s="7" t="s">
        <v>268</v>
      </c>
      <c r="G100" s="7" t="s">
        <v>1172</v>
      </c>
      <c r="H100" s="7" t="s">
        <v>458</v>
      </c>
      <c r="I100" s="7" t="s">
        <v>113</v>
      </c>
      <c r="J100" s="7" t="s">
        <v>459</v>
      </c>
      <c r="K100" s="30" t="s">
        <v>830</v>
      </c>
      <c r="L100" s="30" t="s">
        <v>200</v>
      </c>
      <c r="M100" s="30" t="s">
        <v>831</v>
      </c>
      <c r="N100" s="51">
        <f>19371229/1000</f>
        <v>19371.229</v>
      </c>
      <c r="O100" s="51">
        <f>19370920.65/1000</f>
        <v>19370.92065</v>
      </c>
      <c r="P100" s="51">
        <v>20843.9</v>
      </c>
      <c r="Q100" s="55">
        <v>0</v>
      </c>
      <c r="R100" s="55">
        <v>0</v>
      </c>
      <c r="S100" s="55">
        <v>0</v>
      </c>
    </row>
    <row r="101" spans="1:19" s="3" customFormat="1" ht="63" customHeight="1">
      <c r="A101" s="39"/>
      <c r="B101" s="11" t="s">
        <v>98</v>
      </c>
      <c r="C101" s="12"/>
      <c r="D101" s="44" t="s">
        <v>146</v>
      </c>
      <c r="E101" s="7" t="s">
        <v>34</v>
      </c>
      <c r="F101" s="7" t="s">
        <v>269</v>
      </c>
      <c r="G101" s="7" t="s">
        <v>1116</v>
      </c>
      <c r="H101" s="7"/>
      <c r="I101" s="7"/>
      <c r="J101" s="7"/>
      <c r="K101" s="7" t="s">
        <v>1078</v>
      </c>
      <c r="L101" s="7" t="s">
        <v>245</v>
      </c>
      <c r="M101" s="10" t="s">
        <v>252</v>
      </c>
      <c r="N101" s="51">
        <f>11043/1000</f>
        <v>11.043</v>
      </c>
      <c r="O101" s="51">
        <f>11043/1000</f>
        <v>11.043</v>
      </c>
      <c r="P101" s="51">
        <f>1592350/1000</f>
        <v>1592.35</v>
      </c>
      <c r="Q101" s="51">
        <v>1732.2</v>
      </c>
      <c r="R101" s="52">
        <v>1822.3</v>
      </c>
      <c r="S101" s="52">
        <v>1911.6</v>
      </c>
    </row>
    <row r="102" spans="1:19" s="3" customFormat="1" ht="132.75" customHeight="1">
      <c r="A102" s="39"/>
      <c r="B102" s="11" t="s">
        <v>220</v>
      </c>
      <c r="C102" s="12"/>
      <c r="D102" s="44" t="s">
        <v>146</v>
      </c>
      <c r="E102" s="7" t="s">
        <v>34</v>
      </c>
      <c r="F102" s="7" t="s">
        <v>269</v>
      </c>
      <c r="G102" s="7" t="s">
        <v>1116</v>
      </c>
      <c r="H102" s="7" t="s">
        <v>439</v>
      </c>
      <c r="I102" s="7" t="s">
        <v>460</v>
      </c>
      <c r="J102" s="7" t="s">
        <v>441</v>
      </c>
      <c r="K102" s="7" t="s">
        <v>913</v>
      </c>
      <c r="L102" s="7" t="s">
        <v>187</v>
      </c>
      <c r="M102" s="10" t="s">
        <v>914</v>
      </c>
      <c r="N102" s="51">
        <f>3134900/1000</f>
        <v>3134.9</v>
      </c>
      <c r="O102" s="51">
        <f>3130234.8/1000</f>
        <v>3130.2347999999997</v>
      </c>
      <c r="P102" s="51">
        <v>3482.1</v>
      </c>
      <c r="Q102" s="51">
        <v>5275.6</v>
      </c>
      <c r="R102" s="51">
        <v>5549.9</v>
      </c>
      <c r="S102" s="51">
        <v>5821.9</v>
      </c>
    </row>
    <row r="103" spans="1:19" s="3" customFormat="1" ht="96" customHeight="1">
      <c r="A103" s="39"/>
      <c r="B103" s="11" t="s">
        <v>522</v>
      </c>
      <c r="C103" s="12"/>
      <c r="D103" s="44" t="s">
        <v>222</v>
      </c>
      <c r="E103" s="7" t="s">
        <v>34</v>
      </c>
      <c r="F103" s="7" t="s">
        <v>269</v>
      </c>
      <c r="G103" s="7" t="s">
        <v>1116</v>
      </c>
      <c r="H103" s="7" t="s">
        <v>176</v>
      </c>
      <c r="I103" s="7" t="s">
        <v>182</v>
      </c>
      <c r="J103" s="7" t="s">
        <v>162</v>
      </c>
      <c r="K103" s="7" t="s">
        <v>420</v>
      </c>
      <c r="L103" s="7" t="s">
        <v>401</v>
      </c>
      <c r="M103" s="10" t="s">
        <v>340</v>
      </c>
      <c r="N103" s="51">
        <f>99000/1000</f>
        <v>99</v>
      </c>
      <c r="O103" s="51">
        <f>99000/1000</f>
        <v>99</v>
      </c>
      <c r="P103" s="51">
        <v>0</v>
      </c>
      <c r="Q103" s="51">
        <v>0</v>
      </c>
      <c r="R103" s="52">
        <v>0</v>
      </c>
      <c r="S103" s="52">
        <v>0</v>
      </c>
    </row>
    <row r="104" spans="1:19" s="3" customFormat="1" ht="95.25" customHeight="1">
      <c r="A104" s="39"/>
      <c r="B104" s="11" t="s">
        <v>523</v>
      </c>
      <c r="C104" s="12"/>
      <c r="D104" s="44" t="s">
        <v>16</v>
      </c>
      <c r="E104" s="7" t="s">
        <v>34</v>
      </c>
      <c r="F104" s="7" t="s">
        <v>269</v>
      </c>
      <c r="G104" s="7" t="s">
        <v>1116</v>
      </c>
      <c r="H104" s="7" t="s">
        <v>176</v>
      </c>
      <c r="I104" s="7" t="s">
        <v>475</v>
      </c>
      <c r="J104" s="7" t="s">
        <v>162</v>
      </c>
      <c r="K104" s="7" t="s">
        <v>420</v>
      </c>
      <c r="L104" s="7" t="s">
        <v>401</v>
      </c>
      <c r="M104" s="10" t="s">
        <v>340</v>
      </c>
      <c r="N104" s="51">
        <f>151000/1000</f>
        <v>151</v>
      </c>
      <c r="O104" s="51">
        <f>151000/1000</f>
        <v>151</v>
      </c>
      <c r="P104" s="51">
        <v>0</v>
      </c>
      <c r="Q104" s="51">
        <v>0</v>
      </c>
      <c r="R104" s="52">
        <v>0</v>
      </c>
      <c r="S104" s="52">
        <v>0</v>
      </c>
    </row>
    <row r="105" spans="1:19" s="3" customFormat="1" ht="100.5" customHeight="1">
      <c r="A105" s="39"/>
      <c r="B105" s="11" t="s">
        <v>524</v>
      </c>
      <c r="C105" s="12"/>
      <c r="D105" s="44" t="s">
        <v>222</v>
      </c>
      <c r="E105" s="7" t="s">
        <v>34</v>
      </c>
      <c r="F105" s="7" t="s">
        <v>269</v>
      </c>
      <c r="G105" s="7" t="s">
        <v>1116</v>
      </c>
      <c r="H105" s="7" t="s">
        <v>525</v>
      </c>
      <c r="I105" s="7" t="s">
        <v>245</v>
      </c>
      <c r="J105" s="7" t="s">
        <v>408</v>
      </c>
      <c r="K105" s="30" t="s">
        <v>832</v>
      </c>
      <c r="L105" s="30" t="s">
        <v>833</v>
      </c>
      <c r="M105" s="30" t="s">
        <v>834</v>
      </c>
      <c r="N105" s="51">
        <f>2291000/1000</f>
        <v>2291</v>
      </c>
      <c r="O105" s="51">
        <f>2290994.76/1000</f>
        <v>2290.9947599999996</v>
      </c>
      <c r="P105" s="51">
        <v>5715</v>
      </c>
      <c r="Q105" s="51">
        <v>3344</v>
      </c>
      <c r="R105" s="52">
        <v>3344</v>
      </c>
      <c r="S105" s="52">
        <v>3344</v>
      </c>
    </row>
    <row r="106" spans="1:19" s="3" customFormat="1" ht="120.75" customHeight="1">
      <c r="A106" s="40"/>
      <c r="B106" s="102" t="s">
        <v>954</v>
      </c>
      <c r="C106" s="19"/>
      <c r="D106" s="45" t="s">
        <v>16</v>
      </c>
      <c r="E106" s="7" t="s">
        <v>34</v>
      </c>
      <c r="F106" s="7" t="s">
        <v>269</v>
      </c>
      <c r="G106" s="7" t="s">
        <v>1116</v>
      </c>
      <c r="H106" s="21" t="s">
        <v>1019</v>
      </c>
      <c r="I106" s="21" t="s">
        <v>71</v>
      </c>
      <c r="J106" s="109" t="s">
        <v>1020</v>
      </c>
      <c r="K106" s="92" t="s">
        <v>1092</v>
      </c>
      <c r="L106" s="92" t="s">
        <v>200</v>
      </c>
      <c r="M106" s="92" t="s">
        <v>1020</v>
      </c>
      <c r="N106" s="53">
        <v>0</v>
      </c>
      <c r="O106" s="53">
        <v>0</v>
      </c>
      <c r="P106" s="53">
        <v>1593.648</v>
      </c>
      <c r="Q106" s="53">
        <v>0</v>
      </c>
      <c r="R106" s="56">
        <v>0</v>
      </c>
      <c r="S106" s="56">
        <v>0</v>
      </c>
    </row>
    <row r="107" spans="1:19" s="3" customFormat="1" ht="63" customHeight="1">
      <c r="A107" s="227"/>
      <c r="B107" s="231" t="s">
        <v>541</v>
      </c>
      <c r="C107" s="19"/>
      <c r="D107" s="212" t="s">
        <v>222</v>
      </c>
      <c r="E107" s="215" t="s">
        <v>34</v>
      </c>
      <c r="F107" s="215" t="s">
        <v>269</v>
      </c>
      <c r="G107" s="215" t="s">
        <v>1116</v>
      </c>
      <c r="H107" s="215" t="s">
        <v>439</v>
      </c>
      <c r="I107" s="215" t="s">
        <v>542</v>
      </c>
      <c r="J107" s="275" t="s">
        <v>441</v>
      </c>
      <c r="K107" s="78" t="s">
        <v>543</v>
      </c>
      <c r="L107" s="78" t="s">
        <v>245</v>
      </c>
      <c r="M107" s="78" t="s">
        <v>544</v>
      </c>
      <c r="N107" s="237">
        <f>15034000/1000</f>
        <v>15034</v>
      </c>
      <c r="O107" s="237">
        <f>15033999.95/1000</f>
        <v>15033.99995</v>
      </c>
      <c r="P107" s="269">
        <v>10400</v>
      </c>
      <c r="Q107" s="237">
        <v>0</v>
      </c>
      <c r="R107" s="272">
        <v>0</v>
      </c>
      <c r="S107" s="295">
        <v>0</v>
      </c>
    </row>
    <row r="108" spans="1:19" s="3" customFormat="1" ht="60.75" customHeight="1">
      <c r="A108" s="183"/>
      <c r="B108" s="181"/>
      <c r="C108" s="19"/>
      <c r="D108" s="213"/>
      <c r="E108" s="216"/>
      <c r="F108" s="216"/>
      <c r="G108" s="216"/>
      <c r="H108" s="216"/>
      <c r="I108" s="216"/>
      <c r="J108" s="276"/>
      <c r="K108" s="79" t="s">
        <v>726</v>
      </c>
      <c r="L108" s="79" t="s">
        <v>245</v>
      </c>
      <c r="M108" s="79" t="s">
        <v>727</v>
      </c>
      <c r="N108" s="238"/>
      <c r="O108" s="238"/>
      <c r="P108" s="270"/>
      <c r="Q108" s="238"/>
      <c r="R108" s="273"/>
      <c r="S108" s="296"/>
    </row>
    <row r="109" spans="1:19" s="3" customFormat="1" ht="60.75" customHeight="1">
      <c r="A109" s="183"/>
      <c r="B109" s="181"/>
      <c r="C109" s="19"/>
      <c r="D109" s="213"/>
      <c r="E109" s="216"/>
      <c r="F109" s="216"/>
      <c r="G109" s="216"/>
      <c r="H109" s="216"/>
      <c r="I109" s="216"/>
      <c r="J109" s="276"/>
      <c r="K109" s="79" t="s">
        <v>728</v>
      </c>
      <c r="L109" s="79" t="s">
        <v>245</v>
      </c>
      <c r="M109" s="79" t="s">
        <v>729</v>
      </c>
      <c r="N109" s="238"/>
      <c r="O109" s="238"/>
      <c r="P109" s="270"/>
      <c r="Q109" s="238"/>
      <c r="R109" s="273"/>
      <c r="S109" s="296"/>
    </row>
    <row r="110" spans="1:19" s="3" customFormat="1" ht="60.75" customHeight="1">
      <c r="A110" s="183"/>
      <c r="B110" s="181"/>
      <c r="C110" s="19"/>
      <c r="D110" s="213"/>
      <c r="E110" s="216"/>
      <c r="F110" s="216"/>
      <c r="G110" s="216"/>
      <c r="H110" s="216"/>
      <c r="I110" s="216"/>
      <c r="J110" s="276"/>
      <c r="K110" s="79" t="s">
        <v>1079</v>
      </c>
      <c r="L110" s="79" t="s">
        <v>245</v>
      </c>
      <c r="M110" s="79" t="s">
        <v>1080</v>
      </c>
      <c r="N110" s="238"/>
      <c r="O110" s="238"/>
      <c r="P110" s="270"/>
      <c r="Q110" s="238"/>
      <c r="R110" s="273"/>
      <c r="S110" s="296"/>
    </row>
    <row r="111" spans="1:19" s="3" customFormat="1" ht="109.5" customHeight="1">
      <c r="A111" s="184"/>
      <c r="B111" s="182"/>
      <c r="C111" s="19"/>
      <c r="D111" s="214"/>
      <c r="E111" s="217"/>
      <c r="F111" s="217"/>
      <c r="G111" s="217"/>
      <c r="H111" s="217"/>
      <c r="I111" s="217"/>
      <c r="J111" s="277"/>
      <c r="K111" s="36" t="s">
        <v>1081</v>
      </c>
      <c r="L111" s="36" t="s">
        <v>245</v>
      </c>
      <c r="M111" s="36" t="s">
        <v>912</v>
      </c>
      <c r="N111" s="239"/>
      <c r="O111" s="239"/>
      <c r="P111" s="271"/>
      <c r="Q111" s="239"/>
      <c r="R111" s="274"/>
      <c r="S111" s="297"/>
    </row>
    <row r="112" spans="1:19" s="3" customFormat="1" ht="109.5" customHeight="1">
      <c r="A112" s="39"/>
      <c r="B112" s="32" t="s">
        <v>545</v>
      </c>
      <c r="C112" s="12"/>
      <c r="D112" s="44" t="s">
        <v>16</v>
      </c>
      <c r="E112" s="21" t="s">
        <v>34</v>
      </c>
      <c r="F112" s="21" t="s">
        <v>269</v>
      </c>
      <c r="G112" s="21" t="s">
        <v>1116</v>
      </c>
      <c r="H112" s="7" t="s">
        <v>546</v>
      </c>
      <c r="I112" s="7" t="s">
        <v>547</v>
      </c>
      <c r="J112" s="7" t="s">
        <v>548</v>
      </c>
      <c r="K112" s="79" t="s">
        <v>900</v>
      </c>
      <c r="L112" s="79" t="s">
        <v>245</v>
      </c>
      <c r="M112" s="79" t="s">
        <v>901</v>
      </c>
      <c r="N112" s="59">
        <f>99000/1000</f>
        <v>99</v>
      </c>
      <c r="O112" s="59">
        <f>99000/1000</f>
        <v>99</v>
      </c>
      <c r="P112" s="59">
        <v>0</v>
      </c>
      <c r="Q112" s="59">
        <v>0</v>
      </c>
      <c r="R112" s="61">
        <v>0</v>
      </c>
      <c r="S112" s="52">
        <v>0</v>
      </c>
    </row>
    <row r="113" spans="1:19" s="3" customFormat="1" ht="81.75" customHeight="1">
      <c r="A113" s="39"/>
      <c r="B113" s="32" t="s">
        <v>549</v>
      </c>
      <c r="C113" s="12"/>
      <c r="D113" s="44" t="s">
        <v>16</v>
      </c>
      <c r="E113" s="21" t="s">
        <v>34</v>
      </c>
      <c r="F113" s="21" t="s">
        <v>269</v>
      </c>
      <c r="G113" s="21" t="s">
        <v>1116</v>
      </c>
      <c r="H113" s="21" t="s">
        <v>439</v>
      </c>
      <c r="I113" s="21" t="s">
        <v>550</v>
      </c>
      <c r="J113" s="21" t="s">
        <v>441</v>
      </c>
      <c r="K113" s="28" t="s">
        <v>730</v>
      </c>
      <c r="L113" s="28" t="s">
        <v>11</v>
      </c>
      <c r="M113" s="70" t="s">
        <v>731</v>
      </c>
      <c r="N113" s="51">
        <f>497000/1000</f>
        <v>497</v>
      </c>
      <c r="O113" s="51">
        <f>497000/1000</f>
        <v>497</v>
      </c>
      <c r="P113" s="51">
        <v>0</v>
      </c>
      <c r="Q113" s="51">
        <v>0</v>
      </c>
      <c r="R113" s="52">
        <v>0</v>
      </c>
      <c r="S113" s="52">
        <v>0</v>
      </c>
    </row>
    <row r="114" spans="1:19" s="3" customFormat="1" ht="107.25" customHeight="1">
      <c r="A114" s="39"/>
      <c r="B114" s="69" t="s">
        <v>600</v>
      </c>
      <c r="C114" s="12"/>
      <c r="D114" s="44" t="s">
        <v>222</v>
      </c>
      <c r="E114" s="21" t="s">
        <v>34</v>
      </c>
      <c r="F114" s="21" t="s">
        <v>269</v>
      </c>
      <c r="G114" s="21" t="s">
        <v>1116</v>
      </c>
      <c r="H114" s="7" t="s">
        <v>648</v>
      </c>
      <c r="I114" s="7" t="s">
        <v>650</v>
      </c>
      <c r="J114" s="7" t="s">
        <v>649</v>
      </c>
      <c r="K114" s="33" t="s">
        <v>900</v>
      </c>
      <c r="L114" s="33" t="s">
        <v>245</v>
      </c>
      <c r="M114" s="33" t="s">
        <v>901</v>
      </c>
      <c r="N114" s="51">
        <f>45900/1000</f>
        <v>45.9</v>
      </c>
      <c r="O114" s="51">
        <f>45900/1000</f>
        <v>45.9</v>
      </c>
      <c r="P114" s="51">
        <v>0</v>
      </c>
      <c r="Q114" s="51">
        <v>0</v>
      </c>
      <c r="R114" s="52">
        <v>0</v>
      </c>
      <c r="S114" s="52">
        <v>0</v>
      </c>
    </row>
    <row r="115" spans="1:19" s="3" customFormat="1" ht="42" customHeight="1">
      <c r="A115" s="259"/>
      <c r="B115" s="261" t="s">
        <v>601</v>
      </c>
      <c r="C115" s="12"/>
      <c r="D115" s="45" t="s">
        <v>222</v>
      </c>
      <c r="E115" s="215" t="s">
        <v>34</v>
      </c>
      <c r="F115" s="215" t="s">
        <v>269</v>
      </c>
      <c r="G115" s="215" t="s">
        <v>1116</v>
      </c>
      <c r="H115" s="215" t="s">
        <v>629</v>
      </c>
      <c r="I115" s="21" t="s">
        <v>646</v>
      </c>
      <c r="J115" s="275" t="s">
        <v>631</v>
      </c>
      <c r="K115" s="233" t="s">
        <v>602</v>
      </c>
      <c r="L115" s="232" t="s">
        <v>11</v>
      </c>
      <c r="M115" s="284" t="s">
        <v>603</v>
      </c>
      <c r="N115" s="53">
        <f>131870/1000</f>
        <v>131.87</v>
      </c>
      <c r="O115" s="53">
        <f>131870/1000</f>
        <v>131.87</v>
      </c>
      <c r="P115" s="53">
        <v>0</v>
      </c>
      <c r="Q115" s="53">
        <v>0</v>
      </c>
      <c r="R115" s="56">
        <v>0</v>
      </c>
      <c r="S115" s="56">
        <v>0</v>
      </c>
    </row>
    <row r="116" spans="1:19" s="3" customFormat="1" ht="42" customHeight="1">
      <c r="A116" s="260"/>
      <c r="B116" s="262"/>
      <c r="C116" s="12"/>
      <c r="D116" s="48" t="s">
        <v>16</v>
      </c>
      <c r="E116" s="217"/>
      <c r="F116" s="217"/>
      <c r="G116" s="217"/>
      <c r="H116" s="217"/>
      <c r="I116" s="23" t="s">
        <v>647</v>
      </c>
      <c r="J116" s="277"/>
      <c r="K116" s="234"/>
      <c r="L116" s="232"/>
      <c r="M116" s="285"/>
      <c r="N116" s="59">
        <f>167972/1000</f>
        <v>167.972</v>
      </c>
      <c r="O116" s="59">
        <f>167972/1000</f>
        <v>167.972</v>
      </c>
      <c r="P116" s="59">
        <v>0</v>
      </c>
      <c r="Q116" s="59">
        <v>0</v>
      </c>
      <c r="R116" s="61">
        <v>0</v>
      </c>
      <c r="S116" s="61">
        <v>0</v>
      </c>
    </row>
    <row r="117" spans="1:19" s="3" customFormat="1" ht="106.5" customHeight="1">
      <c r="A117" s="39"/>
      <c r="B117" s="32" t="s">
        <v>604</v>
      </c>
      <c r="C117" s="12"/>
      <c r="D117" s="44" t="s">
        <v>222</v>
      </c>
      <c r="E117" s="21" t="s">
        <v>34</v>
      </c>
      <c r="F117" s="21" t="s">
        <v>269</v>
      </c>
      <c r="G117" s="21" t="s">
        <v>1116</v>
      </c>
      <c r="H117" s="7" t="s">
        <v>641</v>
      </c>
      <c r="I117" s="7" t="s">
        <v>645</v>
      </c>
      <c r="J117" s="7" t="s">
        <v>643</v>
      </c>
      <c r="K117" s="33" t="s">
        <v>900</v>
      </c>
      <c r="L117" s="33" t="s">
        <v>245</v>
      </c>
      <c r="M117" s="33" t="s">
        <v>901</v>
      </c>
      <c r="N117" s="51">
        <f>48500/1000</f>
        <v>48.5</v>
      </c>
      <c r="O117" s="51">
        <f>48500/1000</f>
        <v>48.5</v>
      </c>
      <c r="P117" s="51">
        <v>0</v>
      </c>
      <c r="Q117" s="51">
        <v>0</v>
      </c>
      <c r="R117" s="52">
        <v>0</v>
      </c>
      <c r="S117" s="52">
        <v>0</v>
      </c>
    </row>
    <row r="118" spans="1:19" s="3" customFormat="1" ht="108.75" customHeight="1">
      <c r="A118" s="39"/>
      <c r="B118" s="31" t="s">
        <v>605</v>
      </c>
      <c r="C118" s="12"/>
      <c r="D118" s="44" t="s">
        <v>16</v>
      </c>
      <c r="E118" s="21" t="s">
        <v>34</v>
      </c>
      <c r="F118" s="21" t="s">
        <v>269</v>
      </c>
      <c r="G118" s="21" t="s">
        <v>1116</v>
      </c>
      <c r="H118" s="7" t="s">
        <v>641</v>
      </c>
      <c r="I118" s="7" t="s">
        <v>644</v>
      </c>
      <c r="J118" s="7" t="s">
        <v>643</v>
      </c>
      <c r="K118" s="33" t="s">
        <v>900</v>
      </c>
      <c r="L118" s="33" t="s">
        <v>245</v>
      </c>
      <c r="M118" s="33" t="s">
        <v>901</v>
      </c>
      <c r="N118" s="51">
        <f>100000/1000</f>
        <v>100</v>
      </c>
      <c r="O118" s="51">
        <f>100000/1000</f>
        <v>100</v>
      </c>
      <c r="P118" s="51">
        <v>0</v>
      </c>
      <c r="Q118" s="51">
        <v>0</v>
      </c>
      <c r="R118" s="52">
        <v>0</v>
      </c>
      <c r="S118" s="52">
        <v>0</v>
      </c>
    </row>
    <row r="119" spans="1:19" s="3" customFormat="1" ht="108.75" customHeight="1">
      <c r="A119" s="39"/>
      <c r="B119" s="31" t="s">
        <v>606</v>
      </c>
      <c r="C119" s="12"/>
      <c r="D119" s="44" t="s">
        <v>16</v>
      </c>
      <c r="E119" s="21" t="s">
        <v>34</v>
      </c>
      <c r="F119" s="21" t="s">
        <v>269</v>
      </c>
      <c r="G119" s="21" t="s">
        <v>1116</v>
      </c>
      <c r="H119" s="7" t="s">
        <v>641</v>
      </c>
      <c r="I119" s="7" t="s">
        <v>642</v>
      </c>
      <c r="J119" s="7" t="s">
        <v>643</v>
      </c>
      <c r="K119" s="33" t="s">
        <v>900</v>
      </c>
      <c r="L119" s="33" t="s">
        <v>245</v>
      </c>
      <c r="M119" s="33" t="s">
        <v>901</v>
      </c>
      <c r="N119" s="51">
        <f>60000/1000</f>
        <v>60</v>
      </c>
      <c r="O119" s="51">
        <f>60000/1000</f>
        <v>60</v>
      </c>
      <c r="P119" s="51">
        <v>0</v>
      </c>
      <c r="Q119" s="51">
        <v>0</v>
      </c>
      <c r="R119" s="52">
        <v>0</v>
      </c>
      <c r="S119" s="52">
        <v>0</v>
      </c>
    </row>
    <row r="120" spans="1:19" s="3" customFormat="1" ht="106.5" customHeight="1">
      <c r="A120" s="39"/>
      <c r="B120" s="31" t="s">
        <v>607</v>
      </c>
      <c r="C120" s="12"/>
      <c r="D120" s="44" t="s">
        <v>16</v>
      </c>
      <c r="E120" s="21" t="s">
        <v>34</v>
      </c>
      <c r="F120" s="21" t="s">
        <v>269</v>
      </c>
      <c r="G120" s="21" t="s">
        <v>1116</v>
      </c>
      <c r="H120" s="7" t="s">
        <v>638</v>
      </c>
      <c r="I120" s="7" t="s">
        <v>639</v>
      </c>
      <c r="J120" s="7" t="s">
        <v>640</v>
      </c>
      <c r="K120" s="33" t="s">
        <v>900</v>
      </c>
      <c r="L120" s="33" t="s">
        <v>245</v>
      </c>
      <c r="M120" s="33" t="s">
        <v>901</v>
      </c>
      <c r="N120" s="51">
        <f>49500/1000</f>
        <v>49.5</v>
      </c>
      <c r="O120" s="51">
        <f>49500/1000</f>
        <v>49.5</v>
      </c>
      <c r="P120" s="51">
        <v>0</v>
      </c>
      <c r="Q120" s="51">
        <v>0</v>
      </c>
      <c r="R120" s="52">
        <v>0</v>
      </c>
      <c r="S120" s="52">
        <v>0</v>
      </c>
    </row>
    <row r="121" spans="1:19" s="3" customFormat="1" ht="84" customHeight="1">
      <c r="A121" s="39"/>
      <c r="B121" s="31" t="s">
        <v>693</v>
      </c>
      <c r="C121" s="12"/>
      <c r="D121" s="44" t="s">
        <v>222</v>
      </c>
      <c r="E121" s="21" t="s">
        <v>34</v>
      </c>
      <c r="F121" s="21" t="s">
        <v>269</v>
      </c>
      <c r="G121" s="21" t="s">
        <v>1116</v>
      </c>
      <c r="H121" s="7" t="s">
        <v>694</v>
      </c>
      <c r="I121" s="7" t="s">
        <v>695</v>
      </c>
      <c r="J121" s="7" t="s">
        <v>696</v>
      </c>
      <c r="K121" s="30" t="s">
        <v>697</v>
      </c>
      <c r="L121" s="30" t="s">
        <v>11</v>
      </c>
      <c r="M121" s="30" t="s">
        <v>698</v>
      </c>
      <c r="N121" s="51">
        <f>70000/1000</f>
        <v>70</v>
      </c>
      <c r="O121" s="51">
        <f>70000/1000</f>
        <v>70</v>
      </c>
      <c r="P121" s="51">
        <v>0</v>
      </c>
      <c r="Q121" s="51">
        <v>0</v>
      </c>
      <c r="R121" s="52">
        <v>0</v>
      </c>
      <c r="S121" s="52">
        <v>0</v>
      </c>
    </row>
    <row r="122" spans="1:19" s="3" customFormat="1" ht="97.5" customHeight="1">
      <c r="A122" s="39"/>
      <c r="B122" s="31" t="s">
        <v>699</v>
      </c>
      <c r="C122" s="12"/>
      <c r="D122" s="44" t="s">
        <v>16</v>
      </c>
      <c r="E122" s="21" t="s">
        <v>34</v>
      </c>
      <c r="F122" s="21" t="s">
        <v>269</v>
      </c>
      <c r="G122" s="21" t="s">
        <v>1116</v>
      </c>
      <c r="H122" s="7" t="s">
        <v>700</v>
      </c>
      <c r="I122" s="7" t="s">
        <v>701</v>
      </c>
      <c r="J122" s="7" t="s">
        <v>711</v>
      </c>
      <c r="K122" s="30" t="s">
        <v>702</v>
      </c>
      <c r="L122" s="30" t="s">
        <v>11</v>
      </c>
      <c r="M122" s="30" t="s">
        <v>703</v>
      </c>
      <c r="N122" s="51">
        <f>379855/1000</f>
        <v>379.855</v>
      </c>
      <c r="O122" s="51">
        <f>379855/1000</f>
        <v>379.855</v>
      </c>
      <c r="P122" s="51">
        <v>0</v>
      </c>
      <c r="Q122" s="51">
        <v>0</v>
      </c>
      <c r="R122" s="52">
        <v>0</v>
      </c>
      <c r="S122" s="52">
        <v>0</v>
      </c>
    </row>
    <row r="123" spans="1:19" s="3" customFormat="1" ht="87" customHeight="1">
      <c r="A123" s="39"/>
      <c r="B123" s="31" t="s">
        <v>704</v>
      </c>
      <c r="C123" s="12"/>
      <c r="D123" s="44" t="s">
        <v>16</v>
      </c>
      <c r="E123" s="21" t="s">
        <v>34</v>
      </c>
      <c r="F123" s="21" t="s">
        <v>269</v>
      </c>
      <c r="G123" s="21" t="s">
        <v>1116</v>
      </c>
      <c r="H123" s="7" t="s">
        <v>705</v>
      </c>
      <c r="I123" s="7" t="s">
        <v>706</v>
      </c>
      <c r="J123" s="7" t="s">
        <v>712</v>
      </c>
      <c r="K123" s="30" t="s">
        <v>707</v>
      </c>
      <c r="L123" s="30" t="s">
        <v>11</v>
      </c>
      <c r="M123" s="30" t="s">
        <v>698</v>
      </c>
      <c r="N123" s="51">
        <f>97129/1000</f>
        <v>97.129</v>
      </c>
      <c r="O123" s="51">
        <f>97129/1000</f>
        <v>97.129</v>
      </c>
      <c r="P123" s="51">
        <v>0</v>
      </c>
      <c r="Q123" s="51">
        <v>0</v>
      </c>
      <c r="R123" s="52">
        <v>0</v>
      </c>
      <c r="S123" s="52">
        <v>0</v>
      </c>
    </row>
    <row r="124" spans="1:19" s="3" customFormat="1" ht="86.25" customHeight="1">
      <c r="A124" s="39"/>
      <c r="B124" s="31" t="s">
        <v>708</v>
      </c>
      <c r="C124" s="12"/>
      <c r="D124" s="44" t="s">
        <v>16</v>
      </c>
      <c r="E124" s="21" t="s">
        <v>34</v>
      </c>
      <c r="F124" s="21" t="s">
        <v>269</v>
      </c>
      <c r="G124" s="21" t="s">
        <v>1116</v>
      </c>
      <c r="H124" s="7" t="s">
        <v>709</v>
      </c>
      <c r="I124" s="7" t="s">
        <v>710</v>
      </c>
      <c r="J124" s="7" t="s">
        <v>713</v>
      </c>
      <c r="K124" s="30" t="s">
        <v>714</v>
      </c>
      <c r="L124" s="30" t="s">
        <v>11</v>
      </c>
      <c r="M124" s="30" t="s">
        <v>715</v>
      </c>
      <c r="N124" s="51">
        <f>148190/1000</f>
        <v>148.19</v>
      </c>
      <c r="O124" s="51">
        <f>148190/1000</f>
        <v>148.19</v>
      </c>
      <c r="P124" s="51">
        <v>0</v>
      </c>
      <c r="Q124" s="51">
        <v>0</v>
      </c>
      <c r="R124" s="52">
        <v>0</v>
      </c>
      <c r="S124" s="52">
        <v>0</v>
      </c>
    </row>
    <row r="125" spans="1:19" s="3" customFormat="1" ht="108.75" customHeight="1">
      <c r="A125" s="39"/>
      <c r="B125" s="32" t="s">
        <v>551</v>
      </c>
      <c r="C125" s="12"/>
      <c r="D125" s="44" t="s">
        <v>16</v>
      </c>
      <c r="E125" s="21" t="s">
        <v>34</v>
      </c>
      <c r="F125" s="21" t="s">
        <v>269</v>
      </c>
      <c r="G125" s="21" t="s">
        <v>1116</v>
      </c>
      <c r="H125" s="7" t="s">
        <v>552</v>
      </c>
      <c r="I125" s="7" t="s">
        <v>11</v>
      </c>
      <c r="J125" s="7" t="s">
        <v>428</v>
      </c>
      <c r="K125" s="30" t="s">
        <v>553</v>
      </c>
      <c r="L125" s="30" t="s">
        <v>200</v>
      </c>
      <c r="M125" s="68" t="s">
        <v>428</v>
      </c>
      <c r="N125" s="51">
        <f>3043656/1000</f>
        <v>3043.656</v>
      </c>
      <c r="O125" s="51">
        <f>2213400/1000</f>
        <v>2213.4</v>
      </c>
      <c r="P125" s="51">
        <v>0</v>
      </c>
      <c r="Q125" s="51">
        <v>0</v>
      </c>
      <c r="R125" s="52">
        <v>0</v>
      </c>
      <c r="S125" s="52">
        <v>0</v>
      </c>
    </row>
    <row r="126" spans="1:19" s="3" customFormat="1" ht="84" customHeight="1">
      <c r="A126" s="40"/>
      <c r="B126" s="77" t="s">
        <v>732</v>
      </c>
      <c r="C126" s="19"/>
      <c r="D126" s="45" t="s">
        <v>222</v>
      </c>
      <c r="E126" s="21" t="s">
        <v>34</v>
      </c>
      <c r="F126" s="21" t="s">
        <v>269</v>
      </c>
      <c r="G126" s="21" t="s">
        <v>1116</v>
      </c>
      <c r="H126" s="21" t="s">
        <v>439</v>
      </c>
      <c r="I126" s="21" t="s">
        <v>733</v>
      </c>
      <c r="J126" s="21" t="s">
        <v>441</v>
      </c>
      <c r="K126" s="33" t="s">
        <v>734</v>
      </c>
      <c r="L126" s="33" t="s">
        <v>245</v>
      </c>
      <c r="M126" s="33" t="s">
        <v>735</v>
      </c>
      <c r="N126" s="53">
        <f>1193400/1000</f>
        <v>1193.4</v>
      </c>
      <c r="O126" s="53">
        <f>1193400/1000</f>
        <v>1193.4</v>
      </c>
      <c r="P126" s="51">
        <v>0</v>
      </c>
      <c r="Q126" s="51">
        <v>0</v>
      </c>
      <c r="R126" s="52">
        <v>0</v>
      </c>
      <c r="S126" s="52">
        <v>0</v>
      </c>
    </row>
    <row r="127" spans="1:19" s="3" customFormat="1" ht="82.5" customHeight="1">
      <c r="A127" s="39"/>
      <c r="B127" s="32" t="s">
        <v>940</v>
      </c>
      <c r="C127" s="12"/>
      <c r="D127" s="44" t="s">
        <v>16</v>
      </c>
      <c r="E127" s="21" t="s">
        <v>34</v>
      </c>
      <c r="F127" s="21" t="s">
        <v>269</v>
      </c>
      <c r="G127" s="21" t="s">
        <v>1116</v>
      </c>
      <c r="H127" s="7" t="s">
        <v>1040</v>
      </c>
      <c r="I127" s="7" t="s">
        <v>245</v>
      </c>
      <c r="J127" s="7" t="s">
        <v>923</v>
      </c>
      <c r="K127" s="30" t="s">
        <v>1039</v>
      </c>
      <c r="L127" s="30" t="s">
        <v>245</v>
      </c>
      <c r="M127" s="30" t="s">
        <v>912</v>
      </c>
      <c r="N127" s="51">
        <f>8859340/1000</f>
        <v>8859.34</v>
      </c>
      <c r="O127" s="51">
        <f>8859340/1000</f>
        <v>8859.34</v>
      </c>
      <c r="P127" s="51">
        <v>18337</v>
      </c>
      <c r="Q127" s="51">
        <v>0</v>
      </c>
      <c r="R127" s="52">
        <v>0</v>
      </c>
      <c r="S127" s="52">
        <v>0</v>
      </c>
    </row>
    <row r="128" spans="1:19" s="3" customFormat="1" ht="85.5" customHeight="1">
      <c r="A128" s="39"/>
      <c r="B128" s="32" t="s">
        <v>736</v>
      </c>
      <c r="C128" s="12"/>
      <c r="D128" s="44" t="s">
        <v>16</v>
      </c>
      <c r="E128" s="21" t="s">
        <v>34</v>
      </c>
      <c r="F128" s="21" t="s">
        <v>269</v>
      </c>
      <c r="G128" s="21" t="s">
        <v>1116</v>
      </c>
      <c r="H128" s="7" t="s">
        <v>739</v>
      </c>
      <c r="I128" s="7" t="s">
        <v>740</v>
      </c>
      <c r="J128" s="7" t="s">
        <v>741</v>
      </c>
      <c r="K128" s="30" t="s">
        <v>737</v>
      </c>
      <c r="L128" s="30" t="s">
        <v>11</v>
      </c>
      <c r="M128" s="30" t="s">
        <v>738</v>
      </c>
      <c r="N128" s="51">
        <f>72000/1000</f>
        <v>72</v>
      </c>
      <c r="O128" s="51">
        <f>72000/1000</f>
        <v>72</v>
      </c>
      <c r="P128" s="51">
        <v>0</v>
      </c>
      <c r="Q128" s="51">
        <v>0</v>
      </c>
      <c r="R128" s="52">
        <v>0</v>
      </c>
      <c r="S128" s="52">
        <v>0</v>
      </c>
    </row>
    <row r="129" spans="1:19" s="3" customFormat="1" ht="43.5" customHeight="1">
      <c r="A129" s="227"/>
      <c r="B129" s="231" t="s">
        <v>915</v>
      </c>
      <c r="C129" s="12"/>
      <c r="D129" s="88" t="s">
        <v>16</v>
      </c>
      <c r="E129" s="215" t="s">
        <v>267</v>
      </c>
      <c r="F129" s="215" t="s">
        <v>268</v>
      </c>
      <c r="G129" s="215" t="s">
        <v>1172</v>
      </c>
      <c r="H129" s="215" t="s">
        <v>176</v>
      </c>
      <c r="I129" s="215" t="s">
        <v>182</v>
      </c>
      <c r="J129" s="215" t="s">
        <v>162</v>
      </c>
      <c r="K129" s="264" t="s">
        <v>916</v>
      </c>
      <c r="L129" s="264" t="s">
        <v>245</v>
      </c>
      <c r="M129" s="290" t="s">
        <v>917</v>
      </c>
      <c r="N129" s="53">
        <v>0</v>
      </c>
      <c r="O129" s="53">
        <v>0</v>
      </c>
      <c r="P129" s="53">
        <v>370</v>
      </c>
      <c r="Q129" s="53">
        <v>0</v>
      </c>
      <c r="R129" s="53">
        <v>0</v>
      </c>
      <c r="S129" s="53">
        <v>0</v>
      </c>
    </row>
    <row r="130" spans="1:19" s="3" customFormat="1" ht="43.5" customHeight="1">
      <c r="A130" s="183"/>
      <c r="B130" s="181"/>
      <c r="C130" s="12"/>
      <c r="D130" s="87" t="s">
        <v>222</v>
      </c>
      <c r="E130" s="216"/>
      <c r="F130" s="216"/>
      <c r="G130" s="216"/>
      <c r="H130" s="216"/>
      <c r="I130" s="216"/>
      <c r="J130" s="216"/>
      <c r="K130" s="265"/>
      <c r="L130" s="265"/>
      <c r="M130" s="291"/>
      <c r="N130" s="54">
        <v>0</v>
      </c>
      <c r="O130" s="54">
        <v>0</v>
      </c>
      <c r="P130" s="54">
        <v>133.275</v>
      </c>
      <c r="Q130" s="54">
        <v>0</v>
      </c>
      <c r="R130" s="54">
        <v>0</v>
      </c>
      <c r="S130" s="54">
        <v>0</v>
      </c>
    </row>
    <row r="131" spans="1:19" s="3" customFormat="1" ht="33" customHeight="1">
      <c r="A131" s="184"/>
      <c r="B131" s="182"/>
      <c r="C131" s="12"/>
      <c r="D131" s="89" t="s">
        <v>16</v>
      </c>
      <c r="E131" s="217"/>
      <c r="F131" s="217"/>
      <c r="G131" s="217"/>
      <c r="H131" s="217"/>
      <c r="I131" s="217"/>
      <c r="J131" s="217"/>
      <c r="K131" s="289"/>
      <c r="L131" s="289"/>
      <c r="M131" s="292"/>
      <c r="N131" s="59">
        <v>0</v>
      </c>
      <c r="O131" s="59">
        <v>0</v>
      </c>
      <c r="P131" s="59">
        <v>75</v>
      </c>
      <c r="Q131" s="59">
        <v>0</v>
      </c>
      <c r="R131" s="59">
        <v>0</v>
      </c>
      <c r="S131" s="59">
        <v>0</v>
      </c>
    </row>
    <row r="132" spans="1:19" s="3" customFormat="1" ht="102" customHeight="1">
      <c r="A132" s="42"/>
      <c r="B132" s="32" t="s">
        <v>919</v>
      </c>
      <c r="C132" s="12"/>
      <c r="D132" s="89" t="s">
        <v>16</v>
      </c>
      <c r="E132" s="21" t="s">
        <v>34</v>
      </c>
      <c r="F132" s="21" t="s">
        <v>269</v>
      </c>
      <c r="G132" s="21" t="s">
        <v>1116</v>
      </c>
      <c r="H132" s="7" t="s">
        <v>930</v>
      </c>
      <c r="I132" s="7" t="s">
        <v>931</v>
      </c>
      <c r="J132" s="7" t="s">
        <v>822</v>
      </c>
      <c r="K132" s="30" t="s">
        <v>920</v>
      </c>
      <c r="L132" s="30" t="s">
        <v>921</v>
      </c>
      <c r="M132" s="30" t="s">
        <v>822</v>
      </c>
      <c r="N132" s="51">
        <v>0</v>
      </c>
      <c r="O132" s="51">
        <v>0</v>
      </c>
      <c r="P132" s="59">
        <v>485.662</v>
      </c>
      <c r="Q132" s="59">
        <v>578.1</v>
      </c>
      <c r="R132" s="61">
        <v>578.1</v>
      </c>
      <c r="S132" s="61">
        <v>578.1</v>
      </c>
    </row>
    <row r="133" spans="1:19" s="3" customFormat="1" ht="180.75" customHeight="1">
      <c r="A133" s="227"/>
      <c r="B133" s="231" t="s">
        <v>947</v>
      </c>
      <c r="C133" s="12"/>
      <c r="D133" s="88" t="s">
        <v>222</v>
      </c>
      <c r="E133" s="215" t="s">
        <v>34</v>
      </c>
      <c r="F133" s="215" t="s">
        <v>269</v>
      </c>
      <c r="G133" s="215" t="s">
        <v>1116</v>
      </c>
      <c r="H133" s="215" t="s">
        <v>967</v>
      </c>
      <c r="I133" s="215" t="s">
        <v>970</v>
      </c>
      <c r="J133" s="215" t="s">
        <v>969</v>
      </c>
      <c r="K133" s="28" t="s">
        <v>1027</v>
      </c>
      <c r="L133" s="28" t="s">
        <v>245</v>
      </c>
      <c r="M133" s="70" t="s">
        <v>948</v>
      </c>
      <c r="N133" s="53">
        <v>0</v>
      </c>
      <c r="O133" s="53">
        <v>0</v>
      </c>
      <c r="P133" s="53">
        <v>10</v>
      </c>
      <c r="Q133" s="53">
        <v>0</v>
      </c>
      <c r="R133" s="56">
        <v>0</v>
      </c>
      <c r="S133" s="56">
        <v>0</v>
      </c>
    </row>
    <row r="134" spans="1:19" s="3" customFormat="1" ht="63.75" customHeight="1">
      <c r="A134" s="184"/>
      <c r="B134" s="182"/>
      <c r="C134" s="12"/>
      <c r="D134" s="89" t="s">
        <v>16</v>
      </c>
      <c r="E134" s="217"/>
      <c r="F134" s="217"/>
      <c r="G134" s="217"/>
      <c r="H134" s="217"/>
      <c r="I134" s="217"/>
      <c r="J134" s="217"/>
      <c r="K134" s="29" t="s">
        <v>1028</v>
      </c>
      <c r="L134" s="29" t="s">
        <v>71</v>
      </c>
      <c r="M134" s="71" t="s">
        <v>1026</v>
      </c>
      <c r="N134" s="59">
        <v>0</v>
      </c>
      <c r="O134" s="59">
        <v>0</v>
      </c>
      <c r="P134" s="59">
        <v>45</v>
      </c>
      <c r="Q134" s="59">
        <v>0</v>
      </c>
      <c r="R134" s="61">
        <v>0</v>
      </c>
      <c r="S134" s="61">
        <v>0</v>
      </c>
    </row>
    <row r="135" spans="1:19" s="3" customFormat="1" ht="180" customHeight="1">
      <c r="A135" s="227"/>
      <c r="B135" s="231" t="s">
        <v>955</v>
      </c>
      <c r="C135" s="12"/>
      <c r="D135" s="212" t="s">
        <v>16</v>
      </c>
      <c r="E135" s="215" t="s">
        <v>34</v>
      </c>
      <c r="F135" s="215" t="s">
        <v>269</v>
      </c>
      <c r="G135" s="215" t="s">
        <v>1116</v>
      </c>
      <c r="H135" s="215" t="s">
        <v>971</v>
      </c>
      <c r="I135" s="215" t="s">
        <v>972</v>
      </c>
      <c r="J135" s="215" t="s">
        <v>969</v>
      </c>
      <c r="K135" s="28" t="s">
        <v>1027</v>
      </c>
      <c r="L135" s="28" t="s">
        <v>245</v>
      </c>
      <c r="M135" s="70" t="s">
        <v>948</v>
      </c>
      <c r="N135" s="53">
        <v>0</v>
      </c>
      <c r="O135" s="53">
        <v>0</v>
      </c>
      <c r="P135" s="185">
        <v>76</v>
      </c>
      <c r="Q135" s="53">
        <v>0</v>
      </c>
      <c r="R135" s="56">
        <v>0</v>
      </c>
      <c r="S135" s="56">
        <v>0</v>
      </c>
    </row>
    <row r="136" spans="1:19" s="3" customFormat="1" ht="61.5" customHeight="1">
      <c r="A136" s="184"/>
      <c r="B136" s="182"/>
      <c r="C136" s="12"/>
      <c r="D136" s="214"/>
      <c r="E136" s="217"/>
      <c r="F136" s="217"/>
      <c r="G136" s="217"/>
      <c r="H136" s="217"/>
      <c r="I136" s="217"/>
      <c r="J136" s="217"/>
      <c r="K136" s="29" t="s">
        <v>1025</v>
      </c>
      <c r="L136" s="29" t="s">
        <v>71</v>
      </c>
      <c r="M136" s="71" t="s">
        <v>1026</v>
      </c>
      <c r="N136" s="59"/>
      <c r="O136" s="59"/>
      <c r="P136" s="187"/>
      <c r="Q136" s="59"/>
      <c r="R136" s="61"/>
      <c r="S136" s="61"/>
    </row>
    <row r="137" spans="1:19" s="3" customFormat="1" ht="144" customHeight="1">
      <c r="A137" s="120"/>
      <c r="B137" s="77" t="s">
        <v>990</v>
      </c>
      <c r="C137" s="19"/>
      <c r="D137" s="46" t="s">
        <v>16</v>
      </c>
      <c r="E137" s="21" t="s">
        <v>34</v>
      </c>
      <c r="F137" s="21" t="s">
        <v>269</v>
      </c>
      <c r="G137" s="21" t="s">
        <v>1116</v>
      </c>
      <c r="H137" s="22" t="s">
        <v>1021</v>
      </c>
      <c r="I137" s="22" t="s">
        <v>71</v>
      </c>
      <c r="J137" s="22" t="s">
        <v>822</v>
      </c>
      <c r="K137" s="30" t="s">
        <v>1077</v>
      </c>
      <c r="L137" s="30" t="s">
        <v>11</v>
      </c>
      <c r="M137" s="30" t="s">
        <v>817</v>
      </c>
      <c r="N137" s="54">
        <v>0</v>
      </c>
      <c r="O137" s="54">
        <v>0</v>
      </c>
      <c r="P137" s="54">
        <v>28</v>
      </c>
      <c r="Q137" s="54">
        <v>0</v>
      </c>
      <c r="R137" s="67">
        <v>0</v>
      </c>
      <c r="S137" s="67">
        <v>0</v>
      </c>
    </row>
    <row r="138" spans="1:19" s="3" customFormat="1" ht="86.25" customHeight="1">
      <c r="A138" s="39"/>
      <c r="B138" s="32" t="s">
        <v>991</v>
      </c>
      <c r="C138" s="12"/>
      <c r="D138" s="44" t="s">
        <v>16</v>
      </c>
      <c r="E138" s="21" t="s">
        <v>34</v>
      </c>
      <c r="F138" s="21" t="s">
        <v>269</v>
      </c>
      <c r="G138" s="21" t="s">
        <v>1116</v>
      </c>
      <c r="H138" s="7" t="s">
        <v>1024</v>
      </c>
      <c r="I138" s="7" t="s">
        <v>1022</v>
      </c>
      <c r="J138" s="7" t="s">
        <v>1011</v>
      </c>
      <c r="K138" s="28" t="s">
        <v>1023</v>
      </c>
      <c r="L138" s="30" t="s">
        <v>71</v>
      </c>
      <c r="M138" s="68" t="s">
        <v>1012</v>
      </c>
      <c r="N138" s="51">
        <v>0</v>
      </c>
      <c r="O138" s="51">
        <v>0</v>
      </c>
      <c r="P138" s="51">
        <v>90</v>
      </c>
      <c r="Q138" s="51">
        <v>0</v>
      </c>
      <c r="R138" s="52">
        <v>0</v>
      </c>
      <c r="S138" s="52">
        <v>0</v>
      </c>
    </row>
    <row r="139" spans="1:19" s="3" customFormat="1" ht="84" customHeight="1">
      <c r="A139" s="39"/>
      <c r="B139" s="31" t="s">
        <v>1047</v>
      </c>
      <c r="C139" s="12"/>
      <c r="D139" s="44" t="s">
        <v>16</v>
      </c>
      <c r="E139" s="21" t="s">
        <v>34</v>
      </c>
      <c r="F139" s="21" t="s">
        <v>269</v>
      </c>
      <c r="G139" s="21" t="s">
        <v>1116</v>
      </c>
      <c r="H139" s="7" t="s">
        <v>1048</v>
      </c>
      <c r="I139" s="7" t="s">
        <v>1049</v>
      </c>
      <c r="J139" s="7" t="s">
        <v>1050</v>
      </c>
      <c r="K139" s="28" t="s">
        <v>1051</v>
      </c>
      <c r="L139" s="29" t="s">
        <v>11</v>
      </c>
      <c r="M139" s="71" t="s">
        <v>1052</v>
      </c>
      <c r="N139" s="51">
        <v>0</v>
      </c>
      <c r="O139" s="51">
        <v>0</v>
      </c>
      <c r="P139" s="51">
        <v>73.17</v>
      </c>
      <c r="Q139" s="51">
        <v>0</v>
      </c>
      <c r="R139" s="52">
        <v>0</v>
      </c>
      <c r="S139" s="52">
        <v>0</v>
      </c>
    </row>
    <row r="140" spans="1:19" s="3" customFormat="1" ht="84" customHeight="1">
      <c r="A140" s="39"/>
      <c r="B140" s="31" t="s">
        <v>1053</v>
      </c>
      <c r="C140" s="12"/>
      <c r="D140" s="44" t="s">
        <v>16</v>
      </c>
      <c r="E140" s="21" t="s">
        <v>34</v>
      </c>
      <c r="F140" s="21" t="s">
        <v>269</v>
      </c>
      <c r="G140" s="21" t="s">
        <v>1116</v>
      </c>
      <c r="H140" s="7" t="s">
        <v>1054</v>
      </c>
      <c r="I140" s="7" t="s">
        <v>1055</v>
      </c>
      <c r="J140" s="7" t="s">
        <v>1056</v>
      </c>
      <c r="K140" s="28" t="s">
        <v>1057</v>
      </c>
      <c r="L140" s="29" t="s">
        <v>11</v>
      </c>
      <c r="M140" s="71" t="s">
        <v>1058</v>
      </c>
      <c r="N140" s="51">
        <v>0</v>
      </c>
      <c r="O140" s="51">
        <v>0</v>
      </c>
      <c r="P140" s="51">
        <v>22.8</v>
      </c>
      <c r="Q140" s="51">
        <v>0</v>
      </c>
      <c r="R140" s="52">
        <v>0</v>
      </c>
      <c r="S140" s="52">
        <v>0</v>
      </c>
    </row>
    <row r="141" spans="1:19" s="3" customFormat="1" ht="61.5" customHeight="1">
      <c r="A141" s="39"/>
      <c r="B141" s="32" t="s">
        <v>1513</v>
      </c>
      <c r="C141" s="12"/>
      <c r="D141" s="44" t="s">
        <v>927</v>
      </c>
      <c r="E141" s="7" t="s">
        <v>34</v>
      </c>
      <c r="F141" s="7" t="s">
        <v>269</v>
      </c>
      <c r="G141" s="7" t="s">
        <v>1116</v>
      </c>
      <c r="H141" s="7" t="s">
        <v>810</v>
      </c>
      <c r="I141" s="7"/>
      <c r="J141" s="7"/>
      <c r="K141" s="30" t="s">
        <v>810</v>
      </c>
      <c r="L141" s="30"/>
      <c r="M141" s="68"/>
      <c r="N141" s="51">
        <v>0</v>
      </c>
      <c r="O141" s="51">
        <v>0</v>
      </c>
      <c r="P141" s="51">
        <v>0</v>
      </c>
      <c r="Q141" s="51">
        <v>11369</v>
      </c>
      <c r="R141" s="52">
        <v>0</v>
      </c>
      <c r="S141" s="52">
        <v>0</v>
      </c>
    </row>
    <row r="142" spans="1:19" s="3" customFormat="1" ht="86.25" customHeight="1">
      <c r="A142" s="42"/>
      <c r="B142" s="31" t="s">
        <v>1084</v>
      </c>
      <c r="C142" s="20"/>
      <c r="D142" s="48" t="s">
        <v>16</v>
      </c>
      <c r="E142" s="23" t="s">
        <v>267</v>
      </c>
      <c r="F142" s="23" t="s">
        <v>268</v>
      </c>
      <c r="G142" s="23" t="s">
        <v>1172</v>
      </c>
      <c r="H142" s="23" t="s">
        <v>1089</v>
      </c>
      <c r="I142" s="23" t="s">
        <v>1090</v>
      </c>
      <c r="J142" s="23" t="s">
        <v>1056</v>
      </c>
      <c r="K142" s="92" t="s">
        <v>1087</v>
      </c>
      <c r="L142" s="92" t="s">
        <v>11</v>
      </c>
      <c r="M142" s="98" t="s">
        <v>1088</v>
      </c>
      <c r="N142" s="59">
        <v>0</v>
      </c>
      <c r="O142" s="59">
        <v>0</v>
      </c>
      <c r="P142" s="59">
        <v>99.63</v>
      </c>
      <c r="Q142" s="59">
        <v>0</v>
      </c>
      <c r="R142" s="61">
        <v>0</v>
      </c>
      <c r="S142" s="61">
        <v>0</v>
      </c>
    </row>
    <row r="143" spans="1:19" s="3" customFormat="1" ht="83.25" customHeight="1">
      <c r="A143" s="39"/>
      <c r="B143" s="31" t="s">
        <v>1094</v>
      </c>
      <c r="C143" s="12"/>
      <c r="D143" s="44" t="s">
        <v>222</v>
      </c>
      <c r="E143" s="21" t="s">
        <v>34</v>
      </c>
      <c r="F143" s="21" t="s">
        <v>269</v>
      </c>
      <c r="G143" s="21" t="s">
        <v>1116</v>
      </c>
      <c r="H143" s="7" t="s">
        <v>1101</v>
      </c>
      <c r="I143" s="7" t="s">
        <v>1104</v>
      </c>
      <c r="J143" s="7" t="s">
        <v>1103</v>
      </c>
      <c r="K143" s="30" t="s">
        <v>1523</v>
      </c>
      <c r="L143" s="30" t="s">
        <v>113</v>
      </c>
      <c r="M143" s="68" t="s">
        <v>1524</v>
      </c>
      <c r="N143" s="51">
        <v>0</v>
      </c>
      <c r="O143" s="51">
        <v>0</v>
      </c>
      <c r="P143" s="51">
        <v>55</v>
      </c>
      <c r="Q143" s="51">
        <v>0</v>
      </c>
      <c r="R143" s="52">
        <v>0</v>
      </c>
      <c r="S143" s="52">
        <v>0</v>
      </c>
    </row>
    <row r="144" spans="1:19" s="3" customFormat="1" ht="86.25" customHeight="1">
      <c r="A144" s="39"/>
      <c r="B144" s="31" t="s">
        <v>1095</v>
      </c>
      <c r="C144" s="12"/>
      <c r="D144" s="44" t="s">
        <v>16</v>
      </c>
      <c r="E144" s="21" t="s">
        <v>34</v>
      </c>
      <c r="F144" s="21" t="s">
        <v>269</v>
      </c>
      <c r="G144" s="21" t="s">
        <v>1116</v>
      </c>
      <c r="H144" s="7" t="s">
        <v>1101</v>
      </c>
      <c r="I144" s="7" t="s">
        <v>1102</v>
      </c>
      <c r="J144" s="7" t="s">
        <v>1103</v>
      </c>
      <c r="K144" s="30" t="s">
        <v>1523</v>
      </c>
      <c r="L144" s="30" t="s">
        <v>113</v>
      </c>
      <c r="M144" s="68" t="s">
        <v>1524</v>
      </c>
      <c r="N144" s="51">
        <v>0</v>
      </c>
      <c r="O144" s="51">
        <v>0</v>
      </c>
      <c r="P144" s="51">
        <v>85</v>
      </c>
      <c r="Q144" s="51">
        <v>0</v>
      </c>
      <c r="R144" s="52">
        <v>0</v>
      </c>
      <c r="S144" s="52">
        <v>0</v>
      </c>
    </row>
    <row r="145" spans="1:19" s="3" customFormat="1" ht="94.5" customHeight="1">
      <c r="A145" s="39"/>
      <c r="B145" s="31" t="s">
        <v>1537</v>
      </c>
      <c r="C145" s="12"/>
      <c r="D145" s="44"/>
      <c r="E145" s="21" t="s">
        <v>34</v>
      </c>
      <c r="F145" s="21" t="s">
        <v>269</v>
      </c>
      <c r="G145" s="21" t="s">
        <v>1116</v>
      </c>
      <c r="H145" s="130" t="s">
        <v>1487</v>
      </c>
      <c r="I145" s="130" t="s">
        <v>1488</v>
      </c>
      <c r="J145" s="130" t="s">
        <v>1489</v>
      </c>
      <c r="K145" s="28" t="s">
        <v>1538</v>
      </c>
      <c r="L145" s="28" t="s">
        <v>113</v>
      </c>
      <c r="M145" s="70" t="s">
        <v>1539</v>
      </c>
      <c r="N145" s="51">
        <v>0</v>
      </c>
      <c r="O145" s="51">
        <v>0</v>
      </c>
      <c r="P145" s="51">
        <v>175</v>
      </c>
      <c r="Q145" s="51">
        <v>0</v>
      </c>
      <c r="R145" s="52">
        <v>0</v>
      </c>
      <c r="S145" s="52">
        <v>0</v>
      </c>
    </row>
    <row r="146" spans="1:19" s="3" customFormat="1" ht="96.75" customHeight="1">
      <c r="A146" s="39"/>
      <c r="B146" s="31" t="s">
        <v>1560</v>
      </c>
      <c r="C146" s="12"/>
      <c r="D146" s="44" t="s">
        <v>222</v>
      </c>
      <c r="E146" s="21" t="s">
        <v>34</v>
      </c>
      <c r="F146" s="21" t="s">
        <v>269</v>
      </c>
      <c r="G146" s="21" t="s">
        <v>1116</v>
      </c>
      <c r="H146" s="130" t="s">
        <v>1487</v>
      </c>
      <c r="I146" s="130" t="s">
        <v>1488</v>
      </c>
      <c r="J146" s="130" t="s">
        <v>1489</v>
      </c>
      <c r="K146" s="28" t="s">
        <v>1574</v>
      </c>
      <c r="L146" s="28" t="s">
        <v>11</v>
      </c>
      <c r="M146" s="70" t="s">
        <v>1575</v>
      </c>
      <c r="N146" s="51">
        <v>0</v>
      </c>
      <c r="O146" s="51">
        <v>0</v>
      </c>
      <c r="P146" s="51">
        <v>50</v>
      </c>
      <c r="Q146" s="51">
        <v>0</v>
      </c>
      <c r="R146" s="52">
        <v>0</v>
      </c>
      <c r="S146" s="52">
        <v>0</v>
      </c>
    </row>
    <row r="147" spans="1:19" s="3" customFormat="1" ht="84" customHeight="1">
      <c r="A147" s="39"/>
      <c r="B147" s="31" t="s">
        <v>1561</v>
      </c>
      <c r="C147" s="12"/>
      <c r="D147" s="44" t="s">
        <v>222</v>
      </c>
      <c r="E147" s="21" t="s">
        <v>34</v>
      </c>
      <c r="F147" s="21" t="s">
        <v>269</v>
      </c>
      <c r="G147" s="21" t="s">
        <v>1116</v>
      </c>
      <c r="H147" s="7" t="s">
        <v>439</v>
      </c>
      <c r="I147" s="7" t="s">
        <v>508</v>
      </c>
      <c r="J147" s="7" t="s">
        <v>441</v>
      </c>
      <c r="K147" s="28" t="s">
        <v>1572</v>
      </c>
      <c r="L147" s="28" t="s">
        <v>113</v>
      </c>
      <c r="M147" s="70" t="s">
        <v>1573</v>
      </c>
      <c r="N147" s="51">
        <v>0</v>
      </c>
      <c r="O147" s="51">
        <v>0</v>
      </c>
      <c r="P147" s="51">
        <v>623.81</v>
      </c>
      <c r="Q147" s="51">
        <v>0</v>
      </c>
      <c r="R147" s="52">
        <v>0</v>
      </c>
      <c r="S147" s="52">
        <v>0</v>
      </c>
    </row>
    <row r="148" spans="1:19" s="3" customFormat="1" ht="109.5" customHeight="1">
      <c r="A148" s="39"/>
      <c r="B148" s="32" t="s">
        <v>824</v>
      </c>
      <c r="C148" s="12"/>
      <c r="D148" s="44" t="s">
        <v>16</v>
      </c>
      <c r="E148" s="7" t="s">
        <v>267</v>
      </c>
      <c r="F148" s="7" t="s">
        <v>268</v>
      </c>
      <c r="G148" s="7" t="s">
        <v>1172</v>
      </c>
      <c r="H148" s="7" t="s">
        <v>825</v>
      </c>
      <c r="I148" s="7" t="s">
        <v>245</v>
      </c>
      <c r="J148" s="7" t="s">
        <v>826</v>
      </c>
      <c r="K148" s="28" t="s">
        <v>827</v>
      </c>
      <c r="L148" s="28" t="s">
        <v>828</v>
      </c>
      <c r="M148" s="28" t="s">
        <v>829</v>
      </c>
      <c r="N148" s="51">
        <v>0</v>
      </c>
      <c r="O148" s="51">
        <v>0</v>
      </c>
      <c r="P148" s="51">
        <f>18934+5000</f>
        <v>23934</v>
      </c>
      <c r="Q148" s="51">
        <v>0</v>
      </c>
      <c r="R148" s="52">
        <v>0</v>
      </c>
      <c r="S148" s="52">
        <v>0</v>
      </c>
    </row>
    <row r="149" spans="1:19" s="2" customFormat="1" ht="37.5" customHeight="1">
      <c r="A149" s="38" t="s">
        <v>37</v>
      </c>
      <c r="B149" s="174" t="s">
        <v>1123</v>
      </c>
      <c r="C149" s="175"/>
      <c r="D149" s="175"/>
      <c r="E149" s="175"/>
      <c r="F149" s="175"/>
      <c r="G149" s="175"/>
      <c r="H149" s="175"/>
      <c r="I149" s="175"/>
      <c r="J149" s="175"/>
      <c r="K149" s="175"/>
      <c r="L149" s="175"/>
      <c r="M149" s="176"/>
      <c r="N149" s="50">
        <f aca="true" t="shared" si="10" ref="N149:S149">SUM(N150:N178)</f>
        <v>93711.35081999999</v>
      </c>
      <c r="O149" s="50">
        <f t="shared" si="10"/>
        <v>93383.54415</v>
      </c>
      <c r="P149" s="50">
        <f t="shared" si="10"/>
        <v>19135.74031</v>
      </c>
      <c r="Q149" s="50">
        <f t="shared" si="10"/>
        <v>13608</v>
      </c>
      <c r="R149" s="50">
        <f t="shared" si="10"/>
        <v>17776.7</v>
      </c>
      <c r="S149" s="50">
        <f t="shared" si="10"/>
        <v>26579.7</v>
      </c>
    </row>
    <row r="150" spans="1:19" s="3" customFormat="1" ht="72" customHeight="1">
      <c r="A150" s="39"/>
      <c r="B150" s="35" t="s">
        <v>409</v>
      </c>
      <c r="C150" s="12"/>
      <c r="D150" s="44" t="s">
        <v>110</v>
      </c>
      <c r="E150" s="7" t="s">
        <v>34</v>
      </c>
      <c r="F150" s="7" t="s">
        <v>1173</v>
      </c>
      <c r="G150" s="7" t="s">
        <v>1116</v>
      </c>
      <c r="H150" s="7"/>
      <c r="I150" s="7"/>
      <c r="J150" s="7"/>
      <c r="K150" s="7" t="s">
        <v>1029</v>
      </c>
      <c r="L150" s="7" t="s">
        <v>194</v>
      </c>
      <c r="M150" s="10" t="s">
        <v>348</v>
      </c>
      <c r="N150" s="51">
        <f>691999.34/1000</f>
        <v>691.99934</v>
      </c>
      <c r="O150" s="51">
        <f>690966.67/1000</f>
        <v>690.96667</v>
      </c>
      <c r="P150" s="51">
        <v>1061</v>
      </c>
      <c r="Q150" s="51">
        <v>805</v>
      </c>
      <c r="R150" s="52">
        <v>0</v>
      </c>
      <c r="S150" s="52">
        <v>0</v>
      </c>
    </row>
    <row r="151" spans="1:19" s="3" customFormat="1" ht="21" customHeight="1">
      <c r="A151" s="248"/>
      <c r="B151" s="254" t="s">
        <v>29</v>
      </c>
      <c r="C151" s="12"/>
      <c r="D151" s="45" t="s">
        <v>110</v>
      </c>
      <c r="E151" s="215" t="s">
        <v>34</v>
      </c>
      <c r="F151" s="215" t="s">
        <v>1173</v>
      </c>
      <c r="G151" s="215" t="s">
        <v>1116</v>
      </c>
      <c r="H151" s="21"/>
      <c r="I151" s="21"/>
      <c r="J151" s="21"/>
      <c r="K151" s="215" t="s">
        <v>795</v>
      </c>
      <c r="L151" s="215" t="s">
        <v>36</v>
      </c>
      <c r="M151" s="228" t="s">
        <v>25</v>
      </c>
      <c r="N151" s="53">
        <f>31872913.57/1000</f>
        <v>31872.91357</v>
      </c>
      <c r="O151" s="53">
        <f>31866498.33/1000</f>
        <v>31866.49833</v>
      </c>
      <c r="P151" s="185">
        <v>0</v>
      </c>
      <c r="Q151" s="185">
        <v>0</v>
      </c>
      <c r="R151" s="188">
        <v>0</v>
      </c>
      <c r="S151" s="188">
        <v>0</v>
      </c>
    </row>
    <row r="152" spans="1:19" s="3" customFormat="1" ht="21" customHeight="1">
      <c r="A152" s="248"/>
      <c r="B152" s="254"/>
      <c r="C152" s="12"/>
      <c r="D152" s="46" t="s">
        <v>254</v>
      </c>
      <c r="E152" s="216"/>
      <c r="F152" s="216"/>
      <c r="G152" s="216"/>
      <c r="H152" s="22"/>
      <c r="I152" s="22"/>
      <c r="J152" s="22"/>
      <c r="K152" s="216"/>
      <c r="L152" s="216"/>
      <c r="M152" s="229"/>
      <c r="N152" s="54">
        <f>991059.78/1000</f>
        <v>991.05978</v>
      </c>
      <c r="O152" s="54">
        <f>985600.87/1000</f>
        <v>985.60087</v>
      </c>
      <c r="P152" s="186"/>
      <c r="Q152" s="186"/>
      <c r="R152" s="190"/>
      <c r="S152" s="190"/>
    </row>
    <row r="153" spans="1:19" s="3" customFormat="1" ht="21" customHeight="1">
      <c r="A153" s="248"/>
      <c r="B153" s="254"/>
      <c r="C153" s="12"/>
      <c r="D153" s="46" t="s">
        <v>145</v>
      </c>
      <c r="E153" s="216"/>
      <c r="F153" s="216"/>
      <c r="G153" s="216"/>
      <c r="H153" s="22"/>
      <c r="I153" s="22"/>
      <c r="J153" s="22"/>
      <c r="K153" s="216"/>
      <c r="L153" s="216"/>
      <c r="M153" s="229"/>
      <c r="N153" s="54">
        <f>2204143.48/1000</f>
        <v>2204.14348</v>
      </c>
      <c r="O153" s="54">
        <f>2199884.98/1000</f>
        <v>2199.88498</v>
      </c>
      <c r="P153" s="186"/>
      <c r="Q153" s="186"/>
      <c r="R153" s="190"/>
      <c r="S153" s="190"/>
    </row>
    <row r="154" spans="1:19" s="3" customFormat="1" ht="21" customHeight="1">
      <c r="A154" s="248"/>
      <c r="B154" s="254"/>
      <c r="C154" s="12"/>
      <c r="D154" s="87" t="s">
        <v>807</v>
      </c>
      <c r="E154" s="216"/>
      <c r="F154" s="216"/>
      <c r="G154" s="216"/>
      <c r="H154" s="22"/>
      <c r="I154" s="22"/>
      <c r="J154" s="22"/>
      <c r="K154" s="216"/>
      <c r="L154" s="216"/>
      <c r="M154" s="229"/>
      <c r="N154" s="54">
        <f>26259516.18/1000</f>
        <v>26259.51618</v>
      </c>
      <c r="O154" s="54">
        <f>26255132.51/1000</f>
        <v>26255.132510000003</v>
      </c>
      <c r="P154" s="186"/>
      <c r="Q154" s="186"/>
      <c r="R154" s="190"/>
      <c r="S154" s="190"/>
    </row>
    <row r="155" spans="1:19" s="3" customFormat="1" ht="21" customHeight="1">
      <c r="A155" s="248"/>
      <c r="B155" s="254"/>
      <c r="C155" s="12"/>
      <c r="D155" s="213" t="s">
        <v>110</v>
      </c>
      <c r="E155" s="216"/>
      <c r="F155" s="216"/>
      <c r="G155" s="216"/>
      <c r="H155" s="22"/>
      <c r="I155" s="22"/>
      <c r="J155" s="22"/>
      <c r="K155" s="216"/>
      <c r="L155" s="216"/>
      <c r="M155" s="229"/>
      <c r="N155" s="54">
        <f>1435193.45/1000</f>
        <v>1435.19345</v>
      </c>
      <c r="O155" s="54">
        <f>1434335.55/1000</f>
        <v>1434.33555</v>
      </c>
      <c r="P155" s="186"/>
      <c r="Q155" s="186"/>
      <c r="R155" s="190"/>
      <c r="S155" s="190"/>
    </row>
    <row r="156" spans="1:19" s="3" customFormat="1" ht="14.25" customHeight="1">
      <c r="A156" s="248"/>
      <c r="B156" s="254"/>
      <c r="C156" s="12"/>
      <c r="D156" s="213"/>
      <c r="E156" s="216"/>
      <c r="F156" s="216"/>
      <c r="G156" s="216"/>
      <c r="H156" s="22"/>
      <c r="I156" s="22"/>
      <c r="J156" s="22"/>
      <c r="K156" s="216"/>
      <c r="L156" s="216"/>
      <c r="M156" s="229"/>
      <c r="N156" s="54">
        <f>156000/1000</f>
        <v>156</v>
      </c>
      <c r="O156" s="54">
        <f>156000/1000</f>
        <v>156</v>
      </c>
      <c r="P156" s="186"/>
      <c r="Q156" s="186"/>
      <c r="R156" s="190"/>
      <c r="S156" s="190"/>
    </row>
    <row r="157" spans="1:19" s="3" customFormat="1" ht="24" customHeight="1">
      <c r="A157" s="248"/>
      <c r="B157" s="254"/>
      <c r="C157" s="12"/>
      <c r="D157" s="213"/>
      <c r="E157" s="216"/>
      <c r="F157" s="216"/>
      <c r="G157" s="216"/>
      <c r="H157" s="22"/>
      <c r="I157" s="22"/>
      <c r="J157" s="22"/>
      <c r="K157" s="216" t="s">
        <v>796</v>
      </c>
      <c r="L157" s="216" t="s">
        <v>245</v>
      </c>
      <c r="M157" s="229" t="s">
        <v>124</v>
      </c>
      <c r="N157" s="54">
        <f>984000/1000</f>
        <v>984</v>
      </c>
      <c r="O157" s="54">
        <f>973906.9/1000</f>
        <v>973.9069000000001</v>
      </c>
      <c r="P157" s="186"/>
      <c r="Q157" s="186"/>
      <c r="R157" s="190"/>
      <c r="S157" s="190"/>
    </row>
    <row r="158" spans="1:19" s="3" customFormat="1" ht="24" customHeight="1">
      <c r="A158" s="248"/>
      <c r="B158" s="254"/>
      <c r="C158" s="12"/>
      <c r="D158" s="86" t="s">
        <v>145</v>
      </c>
      <c r="E158" s="216"/>
      <c r="F158" s="216"/>
      <c r="G158" s="216"/>
      <c r="H158" s="22"/>
      <c r="I158" s="22"/>
      <c r="J158" s="22"/>
      <c r="K158" s="217"/>
      <c r="L158" s="217"/>
      <c r="M158" s="230"/>
      <c r="N158" s="54">
        <f>11527549.05/1000</f>
        <v>11527.549050000001</v>
      </c>
      <c r="O158" s="59">
        <f>11496663.73/1000</f>
        <v>11496.66373</v>
      </c>
      <c r="P158" s="187"/>
      <c r="Q158" s="187"/>
      <c r="R158" s="189"/>
      <c r="S158" s="189"/>
    </row>
    <row r="159" spans="1:19" s="3" customFormat="1" ht="49.5" customHeight="1">
      <c r="A159" s="227"/>
      <c r="B159" s="195" t="s">
        <v>811</v>
      </c>
      <c r="C159" s="12"/>
      <c r="D159" s="212" t="s">
        <v>110</v>
      </c>
      <c r="E159" s="215" t="s">
        <v>34</v>
      </c>
      <c r="F159" s="215" t="s">
        <v>1173</v>
      </c>
      <c r="G159" s="215" t="s">
        <v>35</v>
      </c>
      <c r="H159" s="215"/>
      <c r="I159" s="215"/>
      <c r="J159" s="215"/>
      <c r="K159" s="21" t="s">
        <v>837</v>
      </c>
      <c r="L159" s="28" t="s">
        <v>86</v>
      </c>
      <c r="M159" s="70" t="s">
        <v>822</v>
      </c>
      <c r="N159" s="185">
        <v>0</v>
      </c>
      <c r="O159" s="185">
        <v>0</v>
      </c>
      <c r="P159" s="185">
        <v>1843.7054</v>
      </c>
      <c r="Q159" s="185">
        <v>2362.5</v>
      </c>
      <c r="R159" s="188">
        <v>2412</v>
      </c>
      <c r="S159" s="188">
        <v>2462.1</v>
      </c>
    </row>
    <row r="160" spans="1:19" s="3" customFormat="1" ht="37.5" customHeight="1">
      <c r="A160" s="183"/>
      <c r="B160" s="196"/>
      <c r="C160" s="12"/>
      <c r="D160" s="213"/>
      <c r="E160" s="216"/>
      <c r="F160" s="216"/>
      <c r="G160" s="216"/>
      <c r="H160" s="216"/>
      <c r="I160" s="216"/>
      <c r="J160" s="216"/>
      <c r="K160" s="92" t="s">
        <v>838</v>
      </c>
      <c r="L160" s="92" t="s">
        <v>245</v>
      </c>
      <c r="M160" s="98" t="s">
        <v>612</v>
      </c>
      <c r="N160" s="186"/>
      <c r="O160" s="186"/>
      <c r="P160" s="186"/>
      <c r="Q160" s="186"/>
      <c r="R160" s="190"/>
      <c r="S160" s="190"/>
    </row>
    <row r="161" spans="1:19" s="3" customFormat="1" ht="74.25" customHeight="1">
      <c r="A161" s="183"/>
      <c r="B161" s="196"/>
      <c r="C161" s="258"/>
      <c r="D161" s="213"/>
      <c r="E161" s="22" t="s">
        <v>237</v>
      </c>
      <c r="F161" s="22" t="s">
        <v>238</v>
      </c>
      <c r="G161" s="22" t="s">
        <v>240</v>
      </c>
      <c r="H161" s="216" t="s">
        <v>264</v>
      </c>
      <c r="I161" s="216" t="s">
        <v>115</v>
      </c>
      <c r="J161" s="216" t="s">
        <v>195</v>
      </c>
      <c r="K161" s="216" t="s">
        <v>1007</v>
      </c>
      <c r="L161" s="216" t="s">
        <v>236</v>
      </c>
      <c r="M161" s="216" t="s">
        <v>33</v>
      </c>
      <c r="N161" s="186">
        <f>264256.73/1000</f>
        <v>264.25673</v>
      </c>
      <c r="O161" s="186">
        <v>0</v>
      </c>
      <c r="P161" s="186">
        <v>0</v>
      </c>
      <c r="Q161" s="186">
        <v>0</v>
      </c>
      <c r="R161" s="190">
        <v>0</v>
      </c>
      <c r="S161" s="190">
        <v>0</v>
      </c>
    </row>
    <row r="162" spans="1:19" s="3" customFormat="1" ht="153" customHeight="1">
      <c r="A162" s="184"/>
      <c r="B162" s="198"/>
      <c r="C162" s="258"/>
      <c r="D162" s="214"/>
      <c r="E162" s="23" t="s">
        <v>42</v>
      </c>
      <c r="F162" s="23" t="s">
        <v>239</v>
      </c>
      <c r="G162" s="23" t="s">
        <v>114</v>
      </c>
      <c r="H162" s="217"/>
      <c r="I162" s="217"/>
      <c r="J162" s="217"/>
      <c r="K162" s="217"/>
      <c r="L162" s="217"/>
      <c r="M162" s="217"/>
      <c r="N162" s="187"/>
      <c r="O162" s="187"/>
      <c r="P162" s="187"/>
      <c r="Q162" s="187"/>
      <c r="R162" s="189"/>
      <c r="S162" s="189"/>
    </row>
    <row r="163" spans="1:19" s="3" customFormat="1" ht="61.5" customHeight="1">
      <c r="A163" s="39"/>
      <c r="B163" s="11" t="s">
        <v>812</v>
      </c>
      <c r="C163" s="12"/>
      <c r="D163" s="44" t="s">
        <v>110</v>
      </c>
      <c r="E163" s="7" t="s">
        <v>34</v>
      </c>
      <c r="F163" s="7" t="s">
        <v>1173</v>
      </c>
      <c r="G163" s="7" t="s">
        <v>1116</v>
      </c>
      <c r="H163" s="7"/>
      <c r="I163" s="7"/>
      <c r="J163" s="7"/>
      <c r="K163" s="7" t="s">
        <v>820</v>
      </c>
      <c r="L163" s="7" t="s">
        <v>821</v>
      </c>
      <c r="M163" s="10" t="s">
        <v>822</v>
      </c>
      <c r="N163" s="51">
        <v>0</v>
      </c>
      <c r="O163" s="51">
        <v>0</v>
      </c>
      <c r="P163" s="51">
        <v>165.4</v>
      </c>
      <c r="Q163" s="51">
        <v>214.5</v>
      </c>
      <c r="R163" s="52">
        <v>225.7</v>
      </c>
      <c r="S163" s="52">
        <v>236.8</v>
      </c>
    </row>
    <row r="164" spans="1:19" s="3" customFormat="1" ht="63" customHeight="1">
      <c r="A164" s="39"/>
      <c r="B164" s="11" t="s">
        <v>813</v>
      </c>
      <c r="C164" s="12"/>
      <c r="D164" s="44" t="s">
        <v>110</v>
      </c>
      <c r="E164" s="7" t="s">
        <v>34</v>
      </c>
      <c r="F164" s="7" t="s">
        <v>1173</v>
      </c>
      <c r="G164" s="7" t="s">
        <v>1116</v>
      </c>
      <c r="H164" s="7"/>
      <c r="I164" s="7"/>
      <c r="J164" s="7"/>
      <c r="K164" s="92" t="s">
        <v>835</v>
      </c>
      <c r="L164" s="92" t="s">
        <v>86</v>
      </c>
      <c r="M164" s="98" t="s">
        <v>822</v>
      </c>
      <c r="N164" s="51">
        <v>0</v>
      </c>
      <c r="O164" s="51">
        <v>0</v>
      </c>
      <c r="P164" s="51">
        <v>1043</v>
      </c>
      <c r="Q164" s="51">
        <v>0</v>
      </c>
      <c r="R164" s="52">
        <v>0</v>
      </c>
      <c r="S164" s="52">
        <v>0</v>
      </c>
    </row>
    <row r="165" spans="1:19" s="3" customFormat="1" ht="49.5" customHeight="1">
      <c r="A165" s="39"/>
      <c r="B165" s="11" t="s">
        <v>303</v>
      </c>
      <c r="C165" s="12"/>
      <c r="D165" s="44" t="s">
        <v>110</v>
      </c>
      <c r="E165" s="21" t="s">
        <v>34</v>
      </c>
      <c r="F165" s="7" t="s">
        <v>1173</v>
      </c>
      <c r="G165" s="7" t="s">
        <v>1116</v>
      </c>
      <c r="H165" s="7"/>
      <c r="I165" s="7"/>
      <c r="J165" s="7"/>
      <c r="K165" s="7" t="s">
        <v>347</v>
      </c>
      <c r="L165" s="7" t="s">
        <v>194</v>
      </c>
      <c r="M165" s="10" t="s">
        <v>348</v>
      </c>
      <c r="N165" s="51">
        <f>85999.45/1000</f>
        <v>85.99945</v>
      </c>
      <c r="O165" s="59">
        <f>85996/1000</f>
        <v>85.996</v>
      </c>
      <c r="P165" s="51">
        <v>84.42419</v>
      </c>
      <c r="Q165" s="51">
        <v>96</v>
      </c>
      <c r="R165" s="52">
        <v>0</v>
      </c>
      <c r="S165" s="52">
        <v>0</v>
      </c>
    </row>
    <row r="166" spans="1:19" s="3" customFormat="1" ht="108" customHeight="1">
      <c r="A166" s="39"/>
      <c r="B166" s="32" t="s">
        <v>608</v>
      </c>
      <c r="C166" s="12"/>
      <c r="D166" s="45" t="s">
        <v>808</v>
      </c>
      <c r="E166" s="21" t="s">
        <v>34</v>
      </c>
      <c r="F166" s="7" t="s">
        <v>1173</v>
      </c>
      <c r="G166" s="7" t="s">
        <v>1116</v>
      </c>
      <c r="H166" s="21" t="s">
        <v>632</v>
      </c>
      <c r="I166" s="21" t="s">
        <v>11</v>
      </c>
      <c r="J166" s="21" t="s">
        <v>633</v>
      </c>
      <c r="K166" s="30" t="s">
        <v>426</v>
      </c>
      <c r="L166" s="30" t="s">
        <v>401</v>
      </c>
      <c r="M166" s="68" t="s">
        <v>340</v>
      </c>
      <c r="N166" s="53">
        <f>10417800/1000</f>
        <v>10417.8</v>
      </c>
      <c r="O166" s="51">
        <f>10417703.69/1000</f>
        <v>10417.70369</v>
      </c>
      <c r="P166" s="53">
        <v>0</v>
      </c>
      <c r="Q166" s="53">
        <v>0</v>
      </c>
      <c r="R166" s="56">
        <v>0</v>
      </c>
      <c r="S166" s="56">
        <v>0</v>
      </c>
    </row>
    <row r="167" spans="1:19" s="3" customFormat="1" ht="84" customHeight="1">
      <c r="A167" s="39"/>
      <c r="B167" s="32" t="s">
        <v>610</v>
      </c>
      <c r="C167" s="12"/>
      <c r="D167" s="45" t="s">
        <v>110</v>
      </c>
      <c r="E167" s="21" t="s">
        <v>34</v>
      </c>
      <c r="F167" s="7" t="s">
        <v>1173</v>
      </c>
      <c r="G167" s="7" t="s">
        <v>1116</v>
      </c>
      <c r="H167" s="7" t="s">
        <v>629</v>
      </c>
      <c r="I167" s="7" t="s">
        <v>637</v>
      </c>
      <c r="J167" s="7" t="s">
        <v>631</v>
      </c>
      <c r="K167" s="30" t="s">
        <v>797</v>
      </c>
      <c r="L167" s="30" t="s">
        <v>299</v>
      </c>
      <c r="M167" s="68" t="s">
        <v>631</v>
      </c>
      <c r="N167" s="53">
        <f>93300/1000</f>
        <v>93.3</v>
      </c>
      <c r="O167" s="51">
        <f>93300/1000</f>
        <v>93.3</v>
      </c>
      <c r="P167" s="53">
        <v>0</v>
      </c>
      <c r="Q167" s="53">
        <v>0</v>
      </c>
      <c r="R167" s="56">
        <v>0</v>
      </c>
      <c r="S167" s="56">
        <v>0</v>
      </c>
    </row>
    <row r="168" spans="1:19" s="3" customFormat="1" ht="33" customHeight="1">
      <c r="A168" s="227"/>
      <c r="B168" s="195" t="s">
        <v>720</v>
      </c>
      <c r="C168" s="19"/>
      <c r="D168" s="45" t="s">
        <v>110</v>
      </c>
      <c r="E168" s="215" t="s">
        <v>34</v>
      </c>
      <c r="F168" s="215" t="s">
        <v>1173</v>
      </c>
      <c r="G168" s="215" t="s">
        <v>1116</v>
      </c>
      <c r="H168" s="215"/>
      <c r="I168" s="215"/>
      <c r="J168" s="215"/>
      <c r="K168" s="215" t="s">
        <v>836</v>
      </c>
      <c r="L168" s="215" t="s">
        <v>245</v>
      </c>
      <c r="M168" s="228" t="s">
        <v>822</v>
      </c>
      <c r="N168" s="53">
        <f>4662619.79/1000</f>
        <v>4662.61979</v>
      </c>
      <c r="O168" s="53">
        <f>4662554.92/1000</f>
        <v>4662.55492</v>
      </c>
      <c r="P168" s="53">
        <v>1966</v>
      </c>
      <c r="Q168" s="53">
        <v>10130</v>
      </c>
      <c r="R168" s="53">
        <v>15139</v>
      </c>
      <c r="S168" s="53">
        <v>23880.8</v>
      </c>
    </row>
    <row r="169" spans="1:19" s="3" customFormat="1" ht="33" customHeight="1">
      <c r="A169" s="183"/>
      <c r="B169" s="196"/>
      <c r="C169" s="73"/>
      <c r="D169" s="46" t="s">
        <v>145</v>
      </c>
      <c r="E169" s="216"/>
      <c r="F169" s="216"/>
      <c r="G169" s="216"/>
      <c r="H169" s="216"/>
      <c r="I169" s="216"/>
      <c r="J169" s="216"/>
      <c r="K169" s="216"/>
      <c r="L169" s="216"/>
      <c r="M169" s="229"/>
      <c r="N169" s="54">
        <f>1965000/1000</f>
        <v>1965</v>
      </c>
      <c r="O169" s="54">
        <f>1965000/1000</f>
        <v>1965</v>
      </c>
      <c r="P169" s="54">
        <v>0</v>
      </c>
      <c r="Q169" s="54">
        <v>0</v>
      </c>
      <c r="R169" s="54">
        <v>0</v>
      </c>
      <c r="S169" s="54">
        <v>0</v>
      </c>
    </row>
    <row r="170" spans="1:19" s="3" customFormat="1" ht="33" customHeight="1">
      <c r="A170" s="184"/>
      <c r="B170" s="198"/>
      <c r="C170" s="20"/>
      <c r="D170" s="48" t="s">
        <v>145</v>
      </c>
      <c r="E170" s="217"/>
      <c r="F170" s="217"/>
      <c r="G170" s="217"/>
      <c r="H170" s="217"/>
      <c r="I170" s="217"/>
      <c r="J170" s="217"/>
      <c r="K170" s="217"/>
      <c r="L170" s="217"/>
      <c r="M170" s="230"/>
      <c r="N170" s="59">
        <f>100000/1000</f>
        <v>100</v>
      </c>
      <c r="O170" s="59">
        <f>100000/1000</f>
        <v>100</v>
      </c>
      <c r="P170" s="59">
        <v>0</v>
      </c>
      <c r="Q170" s="59">
        <v>0</v>
      </c>
      <c r="R170" s="59">
        <v>0</v>
      </c>
      <c r="S170" s="59">
        <v>0</v>
      </c>
    </row>
    <row r="171" spans="1:19" s="3" customFormat="1" ht="48.75" customHeight="1">
      <c r="A171" s="248"/>
      <c r="B171" s="254" t="s">
        <v>839</v>
      </c>
      <c r="C171" s="12"/>
      <c r="D171" s="45" t="s">
        <v>110</v>
      </c>
      <c r="E171" s="215" t="s">
        <v>34</v>
      </c>
      <c r="F171" s="215" t="s">
        <v>1173</v>
      </c>
      <c r="G171" s="215" t="s">
        <v>1116</v>
      </c>
      <c r="H171" s="215"/>
      <c r="I171" s="215"/>
      <c r="J171" s="215"/>
      <c r="K171" s="264" t="s">
        <v>840</v>
      </c>
      <c r="L171" s="264" t="s">
        <v>86</v>
      </c>
      <c r="M171" s="290" t="s">
        <v>822</v>
      </c>
      <c r="N171" s="53">
        <v>0</v>
      </c>
      <c r="O171" s="53">
        <v>0</v>
      </c>
      <c r="P171" s="53">
        <f>40+1003.4+43</f>
        <v>1086.4</v>
      </c>
      <c r="Q171" s="53">
        <v>0</v>
      </c>
      <c r="R171" s="53">
        <v>0</v>
      </c>
      <c r="S171" s="53">
        <v>0</v>
      </c>
    </row>
    <row r="172" spans="1:19" s="3" customFormat="1" ht="48.75" customHeight="1">
      <c r="A172" s="248"/>
      <c r="B172" s="254"/>
      <c r="C172" s="12"/>
      <c r="D172" s="48" t="s">
        <v>145</v>
      </c>
      <c r="E172" s="217"/>
      <c r="F172" s="217"/>
      <c r="G172" s="217"/>
      <c r="H172" s="217"/>
      <c r="I172" s="217"/>
      <c r="J172" s="217"/>
      <c r="K172" s="289"/>
      <c r="L172" s="289"/>
      <c r="M172" s="292"/>
      <c r="N172" s="59">
        <v>0</v>
      </c>
      <c r="O172" s="59">
        <v>0</v>
      </c>
      <c r="P172" s="59">
        <v>32.14172</v>
      </c>
      <c r="Q172" s="59">
        <v>0</v>
      </c>
      <c r="R172" s="59">
        <v>0</v>
      </c>
      <c r="S172" s="59">
        <v>0</v>
      </c>
    </row>
    <row r="173" spans="1:19" s="3" customFormat="1" ht="85.5" customHeight="1">
      <c r="A173" s="39"/>
      <c r="B173" s="11" t="s">
        <v>1512</v>
      </c>
      <c r="C173" s="12"/>
      <c r="D173" s="48" t="s">
        <v>110</v>
      </c>
      <c r="E173" s="23" t="s">
        <v>34</v>
      </c>
      <c r="F173" s="23" t="s">
        <v>1173</v>
      </c>
      <c r="G173" s="23" t="s">
        <v>1116</v>
      </c>
      <c r="H173" s="23" t="s">
        <v>1577</v>
      </c>
      <c r="I173" s="23" t="s">
        <v>245</v>
      </c>
      <c r="J173" s="23" t="s">
        <v>1578</v>
      </c>
      <c r="K173" s="29" t="s">
        <v>1587</v>
      </c>
      <c r="L173" s="29" t="s">
        <v>86</v>
      </c>
      <c r="M173" s="71" t="s">
        <v>1576</v>
      </c>
      <c r="N173" s="59">
        <v>0</v>
      </c>
      <c r="O173" s="59">
        <v>0</v>
      </c>
      <c r="P173" s="59">
        <v>11504</v>
      </c>
      <c r="Q173" s="59">
        <v>0</v>
      </c>
      <c r="R173" s="59">
        <v>0</v>
      </c>
      <c r="S173" s="59">
        <v>0</v>
      </c>
    </row>
    <row r="174" spans="1:19" s="3" customFormat="1" ht="82.5" customHeight="1">
      <c r="A174" s="39"/>
      <c r="B174" s="32" t="s">
        <v>992</v>
      </c>
      <c r="C174" s="12"/>
      <c r="D174" s="44" t="s">
        <v>145</v>
      </c>
      <c r="E174" s="23" t="s">
        <v>34</v>
      </c>
      <c r="F174" s="23" t="s">
        <v>1173</v>
      </c>
      <c r="G174" s="23" t="s">
        <v>1116</v>
      </c>
      <c r="H174" s="7" t="s">
        <v>1024</v>
      </c>
      <c r="I174" s="7" t="s">
        <v>1030</v>
      </c>
      <c r="J174" s="7" t="s">
        <v>1011</v>
      </c>
      <c r="K174" s="29" t="s">
        <v>1031</v>
      </c>
      <c r="L174" s="29" t="s">
        <v>11</v>
      </c>
      <c r="M174" s="71" t="s">
        <v>1032</v>
      </c>
      <c r="N174" s="51">
        <v>0</v>
      </c>
      <c r="O174" s="51">
        <v>0</v>
      </c>
      <c r="P174" s="51">
        <v>25</v>
      </c>
      <c r="Q174" s="51">
        <v>0</v>
      </c>
      <c r="R174" s="51">
        <v>0</v>
      </c>
      <c r="S174" s="51">
        <v>0</v>
      </c>
    </row>
    <row r="175" spans="1:19" s="3" customFormat="1" ht="96.75" customHeight="1">
      <c r="A175" s="39"/>
      <c r="B175" s="102" t="s">
        <v>1059</v>
      </c>
      <c r="C175" s="12"/>
      <c r="D175" s="44" t="s">
        <v>110</v>
      </c>
      <c r="E175" s="23" t="s">
        <v>34</v>
      </c>
      <c r="F175" s="23" t="s">
        <v>1173</v>
      </c>
      <c r="G175" s="23" t="s">
        <v>1116</v>
      </c>
      <c r="H175" s="7" t="s">
        <v>1054</v>
      </c>
      <c r="I175" s="7" t="s">
        <v>1060</v>
      </c>
      <c r="J175" s="7" t="s">
        <v>1056</v>
      </c>
      <c r="K175" s="29" t="s">
        <v>1061</v>
      </c>
      <c r="L175" s="29" t="s">
        <v>71</v>
      </c>
      <c r="M175" s="71" t="s">
        <v>1062</v>
      </c>
      <c r="N175" s="51">
        <v>0</v>
      </c>
      <c r="O175" s="51">
        <v>0</v>
      </c>
      <c r="P175" s="51">
        <v>92.796</v>
      </c>
      <c r="Q175" s="51">
        <v>0</v>
      </c>
      <c r="R175" s="51">
        <v>0</v>
      </c>
      <c r="S175" s="51">
        <v>0</v>
      </c>
    </row>
    <row r="176" spans="1:19" s="3" customFormat="1" ht="96" customHeight="1">
      <c r="A176" s="39"/>
      <c r="B176" s="32" t="s">
        <v>1085</v>
      </c>
      <c r="C176" s="12"/>
      <c r="D176" s="44" t="s">
        <v>110</v>
      </c>
      <c r="E176" s="23" t="s">
        <v>34</v>
      </c>
      <c r="F176" s="23" t="s">
        <v>1173</v>
      </c>
      <c r="G176" s="23" t="s">
        <v>1116</v>
      </c>
      <c r="H176" s="7" t="s">
        <v>1089</v>
      </c>
      <c r="I176" s="7" t="s">
        <v>1099</v>
      </c>
      <c r="J176" s="7" t="s">
        <v>1100</v>
      </c>
      <c r="K176" s="29" t="s">
        <v>1107</v>
      </c>
      <c r="L176" s="29" t="s">
        <v>71</v>
      </c>
      <c r="M176" s="71" t="s">
        <v>1108</v>
      </c>
      <c r="N176" s="51">
        <v>0</v>
      </c>
      <c r="O176" s="51">
        <v>0</v>
      </c>
      <c r="P176" s="51">
        <v>38.613</v>
      </c>
      <c r="Q176" s="51">
        <v>0</v>
      </c>
      <c r="R176" s="51">
        <v>0</v>
      </c>
      <c r="S176" s="51">
        <v>0</v>
      </c>
    </row>
    <row r="177" spans="1:19" s="3" customFormat="1" ht="95.25" customHeight="1">
      <c r="A177" s="39"/>
      <c r="B177" s="32" t="s">
        <v>1511</v>
      </c>
      <c r="C177" s="12"/>
      <c r="D177" s="44" t="s">
        <v>110</v>
      </c>
      <c r="E177" s="23" t="s">
        <v>34</v>
      </c>
      <c r="F177" s="23" t="s">
        <v>1173</v>
      </c>
      <c r="G177" s="23" t="s">
        <v>1116</v>
      </c>
      <c r="H177" s="130" t="s">
        <v>1487</v>
      </c>
      <c r="I177" s="130" t="s">
        <v>1488</v>
      </c>
      <c r="J177" s="130" t="s">
        <v>1489</v>
      </c>
      <c r="K177" s="29" t="s">
        <v>1571</v>
      </c>
      <c r="L177" s="29" t="s">
        <v>86</v>
      </c>
      <c r="M177" s="71" t="s">
        <v>1530</v>
      </c>
      <c r="N177" s="51">
        <v>0</v>
      </c>
      <c r="O177" s="51">
        <v>0</v>
      </c>
      <c r="P177" s="51">
        <v>93.29</v>
      </c>
      <c r="Q177" s="51">
        <v>0</v>
      </c>
      <c r="R177" s="51">
        <v>0</v>
      </c>
      <c r="S177" s="51">
        <v>0</v>
      </c>
    </row>
    <row r="178" spans="1:19" s="3" customFormat="1" ht="84" customHeight="1">
      <c r="A178" s="39"/>
      <c r="B178" s="11" t="s">
        <v>958</v>
      </c>
      <c r="C178" s="12"/>
      <c r="D178" s="44" t="s">
        <v>110</v>
      </c>
      <c r="E178" s="23" t="s">
        <v>34</v>
      </c>
      <c r="F178" s="23" t="s">
        <v>1173</v>
      </c>
      <c r="G178" s="23" t="s">
        <v>1116</v>
      </c>
      <c r="H178" s="7" t="s">
        <v>967</v>
      </c>
      <c r="I178" s="7" t="s">
        <v>968</v>
      </c>
      <c r="J178" s="7" t="s">
        <v>969</v>
      </c>
      <c r="K178" s="30" t="s">
        <v>956</v>
      </c>
      <c r="L178" s="30" t="s">
        <v>71</v>
      </c>
      <c r="M178" s="68" t="s">
        <v>957</v>
      </c>
      <c r="N178" s="51">
        <v>0</v>
      </c>
      <c r="O178" s="51">
        <v>0</v>
      </c>
      <c r="P178" s="51">
        <v>99.97</v>
      </c>
      <c r="Q178" s="51">
        <v>0</v>
      </c>
      <c r="R178" s="51">
        <v>0</v>
      </c>
      <c r="S178" s="51">
        <v>0</v>
      </c>
    </row>
    <row r="179" spans="1:19" s="2" customFormat="1" ht="12.75" customHeight="1">
      <c r="A179" s="38" t="s">
        <v>287</v>
      </c>
      <c r="B179" s="245" t="s">
        <v>216</v>
      </c>
      <c r="C179" s="246"/>
      <c r="D179" s="246"/>
      <c r="E179" s="246"/>
      <c r="F179" s="246"/>
      <c r="G179" s="246"/>
      <c r="H179" s="246"/>
      <c r="I179" s="246"/>
      <c r="J179" s="246"/>
      <c r="K179" s="246"/>
      <c r="L179" s="246"/>
      <c r="M179" s="247"/>
      <c r="N179" s="50">
        <f aca="true" t="shared" si="11" ref="N179:S179">SUM(N180:N182)</f>
        <v>2098.1</v>
      </c>
      <c r="O179" s="50">
        <f t="shared" si="11"/>
        <v>2043.726</v>
      </c>
      <c r="P179" s="50">
        <f t="shared" si="11"/>
        <v>1568.346</v>
      </c>
      <c r="Q179" s="50">
        <f t="shared" si="11"/>
        <v>2010</v>
      </c>
      <c r="R179" s="50">
        <f t="shared" si="11"/>
        <v>2114.5</v>
      </c>
      <c r="S179" s="50">
        <f t="shared" si="11"/>
        <v>2218.1</v>
      </c>
    </row>
    <row r="180" spans="1:19" s="2" customFormat="1" ht="60" customHeight="1">
      <c r="A180" s="227"/>
      <c r="B180" s="195" t="s">
        <v>275</v>
      </c>
      <c r="C180" s="12"/>
      <c r="D180" s="212" t="s">
        <v>143</v>
      </c>
      <c r="E180" s="215" t="s">
        <v>34</v>
      </c>
      <c r="F180" s="215" t="s">
        <v>1174</v>
      </c>
      <c r="G180" s="215" t="s">
        <v>1116</v>
      </c>
      <c r="H180" s="215"/>
      <c r="I180" s="215"/>
      <c r="J180" s="275"/>
      <c r="K180" s="33" t="s">
        <v>427</v>
      </c>
      <c r="L180" s="33" t="s">
        <v>11</v>
      </c>
      <c r="M180" s="33" t="s">
        <v>428</v>
      </c>
      <c r="N180" s="185">
        <f>608100/1000</f>
        <v>608.1</v>
      </c>
      <c r="O180" s="185">
        <f>608100/1000</f>
        <v>608.1</v>
      </c>
      <c r="P180" s="185">
        <v>0</v>
      </c>
      <c r="Q180" s="185">
        <v>0</v>
      </c>
      <c r="R180" s="188">
        <v>0</v>
      </c>
      <c r="S180" s="188">
        <v>0</v>
      </c>
    </row>
    <row r="181" spans="1:19" s="2" customFormat="1" ht="73.5" customHeight="1">
      <c r="A181" s="184"/>
      <c r="B181" s="198"/>
      <c r="C181" s="12"/>
      <c r="D181" s="214"/>
      <c r="E181" s="217"/>
      <c r="F181" s="217"/>
      <c r="G181" s="217"/>
      <c r="H181" s="217"/>
      <c r="I181" s="217"/>
      <c r="J181" s="277"/>
      <c r="K181" s="36" t="s">
        <v>429</v>
      </c>
      <c r="L181" s="36" t="s">
        <v>430</v>
      </c>
      <c r="M181" s="36" t="s">
        <v>428</v>
      </c>
      <c r="N181" s="187"/>
      <c r="O181" s="187"/>
      <c r="P181" s="187"/>
      <c r="Q181" s="187"/>
      <c r="R181" s="189"/>
      <c r="S181" s="189"/>
    </row>
    <row r="182" spans="1:19" s="3" customFormat="1" ht="96.75" customHeight="1">
      <c r="A182" s="39"/>
      <c r="B182" s="11" t="s">
        <v>14</v>
      </c>
      <c r="C182" s="12"/>
      <c r="D182" s="44" t="s">
        <v>15</v>
      </c>
      <c r="E182" s="7" t="s">
        <v>34</v>
      </c>
      <c r="F182" s="7" t="s">
        <v>1174</v>
      </c>
      <c r="G182" s="7" t="s">
        <v>1116</v>
      </c>
      <c r="H182" s="7"/>
      <c r="I182" s="7"/>
      <c r="J182" s="7"/>
      <c r="K182" s="7" t="s">
        <v>184</v>
      </c>
      <c r="L182" s="7" t="s">
        <v>39</v>
      </c>
      <c r="M182" s="7" t="s">
        <v>153</v>
      </c>
      <c r="N182" s="51">
        <f>1490000/1000</f>
        <v>1490</v>
      </c>
      <c r="O182" s="51">
        <f>1435626/1000</f>
        <v>1435.626</v>
      </c>
      <c r="P182" s="51">
        <v>1568.346</v>
      </c>
      <c r="Q182" s="51">
        <v>2010</v>
      </c>
      <c r="R182" s="52">
        <v>2114.5</v>
      </c>
      <c r="S182" s="52">
        <v>2218.1</v>
      </c>
    </row>
    <row r="183" spans="1:19" s="6" customFormat="1" ht="38.25" customHeight="1">
      <c r="A183" s="38" t="s">
        <v>126</v>
      </c>
      <c r="B183" s="174" t="s">
        <v>1590</v>
      </c>
      <c r="C183" s="175"/>
      <c r="D183" s="175"/>
      <c r="E183" s="175"/>
      <c r="F183" s="175"/>
      <c r="G183" s="175"/>
      <c r="H183" s="175"/>
      <c r="I183" s="175"/>
      <c r="J183" s="175"/>
      <c r="K183" s="175"/>
      <c r="L183" s="175"/>
      <c r="M183" s="176"/>
      <c r="N183" s="50"/>
      <c r="O183" s="50"/>
      <c r="P183" s="50"/>
      <c r="Q183" s="50"/>
      <c r="R183" s="50"/>
      <c r="S183" s="50"/>
    </row>
    <row r="184" spans="1:19" s="2" customFormat="1" ht="24.75" customHeight="1">
      <c r="A184" s="38" t="s">
        <v>62</v>
      </c>
      <c r="B184" s="174" t="s">
        <v>1591</v>
      </c>
      <c r="C184" s="175"/>
      <c r="D184" s="175"/>
      <c r="E184" s="175"/>
      <c r="F184" s="175"/>
      <c r="G184" s="175"/>
      <c r="H184" s="175"/>
      <c r="I184" s="175"/>
      <c r="J184" s="175"/>
      <c r="K184" s="175"/>
      <c r="L184" s="175"/>
      <c r="M184" s="176"/>
      <c r="N184" s="51"/>
      <c r="O184" s="51"/>
      <c r="P184" s="51"/>
      <c r="Q184" s="57"/>
      <c r="R184" s="74"/>
      <c r="S184" s="74"/>
    </row>
    <row r="185" spans="1:19" s="2" customFormat="1" ht="12.75" customHeight="1">
      <c r="A185" s="38" t="s">
        <v>47</v>
      </c>
      <c r="B185" s="174" t="s">
        <v>95</v>
      </c>
      <c r="C185" s="175"/>
      <c r="D185" s="175"/>
      <c r="E185" s="175"/>
      <c r="F185" s="175"/>
      <c r="G185" s="175"/>
      <c r="H185" s="175"/>
      <c r="I185" s="175"/>
      <c r="J185" s="175"/>
      <c r="K185" s="175"/>
      <c r="L185" s="175"/>
      <c r="M185" s="176"/>
      <c r="N185" s="50">
        <f aca="true" t="shared" si="12" ref="N185:S185">SUM(N186:N189)</f>
        <v>2679.4585</v>
      </c>
      <c r="O185" s="50">
        <f t="shared" si="12"/>
        <v>2679.45811</v>
      </c>
      <c r="P185" s="50">
        <f t="shared" si="12"/>
        <v>2235.6</v>
      </c>
      <c r="Q185" s="50">
        <f t="shared" si="12"/>
        <v>2621</v>
      </c>
      <c r="R185" s="50">
        <f t="shared" si="12"/>
        <v>2738</v>
      </c>
      <c r="S185" s="50">
        <f t="shared" si="12"/>
        <v>2764</v>
      </c>
    </row>
    <row r="186" spans="1:19" s="3" customFormat="1" ht="59.25" customHeight="1">
      <c r="A186" s="227"/>
      <c r="B186" s="195" t="s">
        <v>615</v>
      </c>
      <c r="C186" s="12"/>
      <c r="D186" s="45" t="s">
        <v>305</v>
      </c>
      <c r="E186" s="21" t="s">
        <v>34</v>
      </c>
      <c r="F186" s="21" t="s">
        <v>1175</v>
      </c>
      <c r="G186" s="21" t="s">
        <v>1116</v>
      </c>
      <c r="H186" s="21"/>
      <c r="I186" s="21"/>
      <c r="J186" s="21"/>
      <c r="K186" s="21" t="s">
        <v>284</v>
      </c>
      <c r="L186" s="21" t="s">
        <v>265</v>
      </c>
      <c r="M186" s="21" t="s">
        <v>33</v>
      </c>
      <c r="N186" s="53">
        <f>2179458.5/1000</f>
        <v>2179.4585</v>
      </c>
      <c r="O186" s="53">
        <f>2179458.11/1000</f>
        <v>2179.45811</v>
      </c>
      <c r="P186" s="53">
        <v>2235.6</v>
      </c>
      <c r="Q186" s="53">
        <v>2621</v>
      </c>
      <c r="R186" s="56">
        <v>2738</v>
      </c>
      <c r="S186" s="56">
        <v>2764</v>
      </c>
    </row>
    <row r="187" spans="1:19" s="3" customFormat="1" ht="69" customHeight="1">
      <c r="A187" s="183"/>
      <c r="B187" s="196"/>
      <c r="C187" s="258"/>
      <c r="D187" s="213"/>
      <c r="E187" s="22" t="s">
        <v>237</v>
      </c>
      <c r="F187" s="22" t="s">
        <v>1136</v>
      </c>
      <c r="G187" s="22" t="s">
        <v>240</v>
      </c>
      <c r="H187" s="216" t="s">
        <v>264</v>
      </c>
      <c r="I187" s="216" t="s">
        <v>115</v>
      </c>
      <c r="J187" s="216" t="s">
        <v>195</v>
      </c>
      <c r="K187" s="216" t="s">
        <v>788</v>
      </c>
      <c r="L187" s="216" t="s">
        <v>236</v>
      </c>
      <c r="M187" s="216" t="s">
        <v>33</v>
      </c>
      <c r="N187" s="186"/>
      <c r="O187" s="186"/>
      <c r="P187" s="186"/>
      <c r="Q187" s="186"/>
      <c r="R187" s="190"/>
      <c r="S187" s="190"/>
    </row>
    <row r="188" spans="1:19" s="3" customFormat="1" ht="146.25" customHeight="1">
      <c r="A188" s="184"/>
      <c r="B188" s="198"/>
      <c r="C188" s="258"/>
      <c r="D188" s="214"/>
      <c r="E188" s="23" t="s">
        <v>42</v>
      </c>
      <c r="F188" s="23" t="s">
        <v>239</v>
      </c>
      <c r="G188" s="23" t="s">
        <v>114</v>
      </c>
      <c r="H188" s="217"/>
      <c r="I188" s="217"/>
      <c r="J188" s="217"/>
      <c r="K188" s="217"/>
      <c r="L188" s="217"/>
      <c r="M188" s="217"/>
      <c r="N188" s="187"/>
      <c r="O188" s="187"/>
      <c r="P188" s="187"/>
      <c r="Q188" s="187"/>
      <c r="R188" s="189"/>
      <c r="S188" s="189"/>
    </row>
    <row r="189" spans="1:19" s="3" customFormat="1" ht="111" customHeight="1">
      <c r="A189" s="39"/>
      <c r="B189" s="11" t="s">
        <v>615</v>
      </c>
      <c r="C189" s="12"/>
      <c r="D189" s="44" t="s">
        <v>305</v>
      </c>
      <c r="E189" s="7" t="s">
        <v>34</v>
      </c>
      <c r="F189" s="7" t="s">
        <v>9</v>
      </c>
      <c r="G189" s="7" t="s">
        <v>1116</v>
      </c>
      <c r="H189" s="7"/>
      <c r="I189" s="7"/>
      <c r="J189" s="7"/>
      <c r="K189" s="7" t="s">
        <v>426</v>
      </c>
      <c r="L189" s="30" t="s">
        <v>401</v>
      </c>
      <c r="M189" s="30" t="s">
        <v>340</v>
      </c>
      <c r="N189" s="51">
        <f>500000/1000</f>
        <v>500</v>
      </c>
      <c r="O189" s="51">
        <f>500000/1000</f>
        <v>500</v>
      </c>
      <c r="P189" s="51">
        <v>0</v>
      </c>
      <c r="Q189" s="51">
        <v>0</v>
      </c>
      <c r="R189" s="52">
        <v>0</v>
      </c>
      <c r="S189" s="52">
        <v>0</v>
      </c>
    </row>
    <row r="190" spans="1:19" s="2" customFormat="1" ht="12.75" customHeight="1">
      <c r="A190" s="38" t="s">
        <v>128</v>
      </c>
      <c r="B190" s="174" t="s">
        <v>190</v>
      </c>
      <c r="C190" s="175"/>
      <c r="D190" s="175"/>
      <c r="E190" s="175"/>
      <c r="F190" s="175"/>
      <c r="G190" s="175"/>
      <c r="H190" s="175"/>
      <c r="I190" s="175"/>
      <c r="J190" s="175"/>
      <c r="K190" s="175"/>
      <c r="L190" s="175"/>
      <c r="M190" s="176"/>
      <c r="N190" s="51"/>
      <c r="O190" s="51"/>
      <c r="P190" s="51"/>
      <c r="Q190" s="57"/>
      <c r="R190" s="74"/>
      <c r="S190" s="74"/>
    </row>
    <row r="191" spans="1:19" s="2" customFormat="1" ht="12.75" customHeight="1">
      <c r="A191" s="38" t="s">
        <v>58</v>
      </c>
      <c r="B191" s="174" t="s">
        <v>59</v>
      </c>
      <c r="C191" s="175"/>
      <c r="D191" s="175"/>
      <c r="E191" s="175"/>
      <c r="F191" s="175"/>
      <c r="G191" s="175"/>
      <c r="H191" s="175"/>
      <c r="I191" s="175"/>
      <c r="J191" s="175"/>
      <c r="K191" s="175"/>
      <c r="L191" s="175"/>
      <c r="M191" s="176"/>
      <c r="N191" s="50">
        <f aca="true" t="shared" si="13" ref="N191:S191">SUM(N192:N194)</f>
        <v>978.5</v>
      </c>
      <c r="O191" s="50">
        <f t="shared" si="13"/>
        <v>766.88997</v>
      </c>
      <c r="P191" s="50">
        <f t="shared" si="13"/>
        <v>3414</v>
      </c>
      <c r="Q191" s="50">
        <f t="shared" si="13"/>
        <v>620</v>
      </c>
      <c r="R191" s="50">
        <f t="shared" si="13"/>
        <v>652.2</v>
      </c>
      <c r="S191" s="50">
        <f t="shared" si="13"/>
        <v>684.2</v>
      </c>
    </row>
    <row r="192" spans="1:19" s="2" customFormat="1" ht="71.25" customHeight="1">
      <c r="A192" s="39"/>
      <c r="B192" s="11" t="s">
        <v>256</v>
      </c>
      <c r="C192" s="12"/>
      <c r="D192" s="212" t="s">
        <v>224</v>
      </c>
      <c r="E192" s="215" t="s">
        <v>34</v>
      </c>
      <c r="F192" s="215" t="s">
        <v>1176</v>
      </c>
      <c r="G192" s="215" t="s">
        <v>1116</v>
      </c>
      <c r="H192" s="215"/>
      <c r="I192" s="215"/>
      <c r="J192" s="215"/>
      <c r="K192" s="215" t="s">
        <v>1033</v>
      </c>
      <c r="L192" s="215" t="s">
        <v>65</v>
      </c>
      <c r="M192" s="215" t="s">
        <v>263</v>
      </c>
      <c r="N192" s="51">
        <f>978500/1000</f>
        <v>978.5</v>
      </c>
      <c r="O192" s="51">
        <f>766889.97/1000</f>
        <v>766.88997</v>
      </c>
      <c r="P192" s="51">
        <v>1494</v>
      </c>
      <c r="Q192" s="51">
        <v>0</v>
      </c>
      <c r="R192" s="52">
        <v>0</v>
      </c>
      <c r="S192" s="52">
        <v>0</v>
      </c>
    </row>
    <row r="193" spans="1:19" s="2" customFormat="1" ht="71.25" customHeight="1">
      <c r="A193" s="39"/>
      <c r="B193" s="11" t="s">
        <v>1514</v>
      </c>
      <c r="C193" s="12"/>
      <c r="D193" s="213"/>
      <c r="E193" s="216"/>
      <c r="F193" s="216"/>
      <c r="G193" s="216"/>
      <c r="H193" s="216"/>
      <c r="I193" s="216"/>
      <c r="J193" s="216"/>
      <c r="K193" s="216"/>
      <c r="L193" s="216"/>
      <c r="M193" s="216"/>
      <c r="N193" s="51"/>
      <c r="O193" s="51"/>
      <c r="P193" s="51"/>
      <c r="Q193" s="51">
        <v>620</v>
      </c>
      <c r="R193" s="52">
        <v>652.2</v>
      </c>
      <c r="S193" s="52">
        <v>684.2</v>
      </c>
    </row>
    <row r="194" spans="1:19" s="2" customFormat="1" ht="47.25" customHeight="1">
      <c r="A194" s="39"/>
      <c r="B194" s="32" t="s">
        <v>993</v>
      </c>
      <c r="C194" s="12"/>
      <c r="D194" s="214"/>
      <c r="E194" s="217"/>
      <c r="F194" s="217"/>
      <c r="G194" s="217"/>
      <c r="H194" s="217"/>
      <c r="I194" s="217"/>
      <c r="J194" s="217"/>
      <c r="K194" s="217"/>
      <c r="L194" s="217"/>
      <c r="M194" s="217"/>
      <c r="N194" s="51">
        <v>0</v>
      </c>
      <c r="O194" s="51">
        <v>0</v>
      </c>
      <c r="P194" s="51">
        <v>1920</v>
      </c>
      <c r="Q194" s="51">
        <v>0</v>
      </c>
      <c r="R194" s="52">
        <v>0</v>
      </c>
      <c r="S194" s="52">
        <v>0</v>
      </c>
    </row>
    <row r="195" spans="1:19" s="2" customFormat="1" ht="13.5" customHeight="1">
      <c r="A195" s="38" t="s">
        <v>134</v>
      </c>
      <c r="B195" s="174" t="s">
        <v>93</v>
      </c>
      <c r="C195" s="175"/>
      <c r="D195" s="175"/>
      <c r="E195" s="175"/>
      <c r="F195" s="175"/>
      <c r="G195" s="175"/>
      <c r="H195" s="175"/>
      <c r="I195" s="175"/>
      <c r="J195" s="175"/>
      <c r="K195" s="175"/>
      <c r="L195" s="175"/>
      <c r="M195" s="176"/>
      <c r="N195" s="50"/>
      <c r="O195" s="50"/>
      <c r="P195" s="50"/>
      <c r="Q195" s="50"/>
      <c r="R195" s="50"/>
      <c r="S195" s="50"/>
    </row>
    <row r="196" spans="1:19" s="6" customFormat="1" ht="13.5" customHeight="1">
      <c r="A196" s="38" t="s">
        <v>130</v>
      </c>
      <c r="B196" s="174" t="s">
        <v>283</v>
      </c>
      <c r="C196" s="175"/>
      <c r="D196" s="175"/>
      <c r="E196" s="175"/>
      <c r="F196" s="175"/>
      <c r="G196" s="175"/>
      <c r="H196" s="175"/>
      <c r="I196" s="175"/>
      <c r="J196" s="175"/>
      <c r="K196" s="175"/>
      <c r="L196" s="175"/>
      <c r="M196" s="176"/>
      <c r="N196" s="50">
        <f aca="true" t="shared" si="14" ref="N196:S196">N197</f>
        <v>0</v>
      </c>
      <c r="O196" s="50">
        <f t="shared" si="14"/>
        <v>0</v>
      </c>
      <c r="P196" s="50">
        <f t="shared" si="14"/>
        <v>117.2</v>
      </c>
      <c r="Q196" s="50">
        <f t="shared" si="14"/>
        <v>158</v>
      </c>
      <c r="R196" s="50">
        <f t="shared" si="14"/>
        <v>166.2</v>
      </c>
      <c r="S196" s="50">
        <f t="shared" si="14"/>
        <v>174.4</v>
      </c>
    </row>
    <row r="197" spans="1:19" s="6" customFormat="1" ht="84" customHeight="1">
      <c r="A197" s="103"/>
      <c r="B197" s="32" t="s">
        <v>959</v>
      </c>
      <c r="C197" s="15"/>
      <c r="D197" s="110" t="s">
        <v>171</v>
      </c>
      <c r="E197" s="7" t="s">
        <v>34</v>
      </c>
      <c r="F197" s="7" t="s">
        <v>966</v>
      </c>
      <c r="G197" s="7" t="s">
        <v>1116</v>
      </c>
      <c r="H197" s="82" t="s">
        <v>1178</v>
      </c>
      <c r="I197" s="82" t="s">
        <v>1179</v>
      </c>
      <c r="J197" s="82" t="s">
        <v>1180</v>
      </c>
      <c r="K197" s="30" t="s">
        <v>960</v>
      </c>
      <c r="L197" s="30" t="s">
        <v>431</v>
      </c>
      <c r="M197" s="68" t="s">
        <v>906</v>
      </c>
      <c r="N197" s="59">
        <v>0</v>
      </c>
      <c r="O197" s="59">
        <v>0</v>
      </c>
      <c r="P197" s="59">
        <v>117.2</v>
      </c>
      <c r="Q197" s="59">
        <v>158</v>
      </c>
      <c r="R197" s="59">
        <v>166.2</v>
      </c>
      <c r="S197" s="59">
        <v>174.4</v>
      </c>
    </row>
    <row r="198" spans="1:19" s="2" customFormat="1" ht="12" customHeight="1">
      <c r="A198" s="38" t="s">
        <v>191</v>
      </c>
      <c r="B198" s="174" t="s">
        <v>192</v>
      </c>
      <c r="C198" s="175"/>
      <c r="D198" s="175"/>
      <c r="E198" s="175"/>
      <c r="F198" s="175"/>
      <c r="G198" s="175"/>
      <c r="H198" s="175"/>
      <c r="I198" s="175"/>
      <c r="J198" s="175"/>
      <c r="K198" s="175"/>
      <c r="L198" s="175"/>
      <c r="M198" s="176"/>
      <c r="N198" s="50">
        <f aca="true" t="shared" si="15" ref="N198:S198">N199</f>
        <v>334.24945</v>
      </c>
      <c r="O198" s="50">
        <f t="shared" si="15"/>
        <v>332.19854</v>
      </c>
      <c r="P198" s="50">
        <f t="shared" si="15"/>
        <v>199.9</v>
      </c>
      <c r="Q198" s="50">
        <f t="shared" si="15"/>
        <v>292</v>
      </c>
      <c r="R198" s="50">
        <f t="shared" si="15"/>
        <v>307.2</v>
      </c>
      <c r="S198" s="50">
        <f t="shared" si="15"/>
        <v>322.2</v>
      </c>
    </row>
    <row r="199" spans="1:19" s="6" customFormat="1" ht="97.5" customHeight="1">
      <c r="A199" s="42"/>
      <c r="B199" s="25" t="s">
        <v>357</v>
      </c>
      <c r="C199" s="12"/>
      <c r="D199" s="48" t="s">
        <v>305</v>
      </c>
      <c r="E199" s="7" t="s">
        <v>34</v>
      </c>
      <c r="F199" s="7" t="s">
        <v>1177</v>
      </c>
      <c r="G199" s="7" t="s">
        <v>1116</v>
      </c>
      <c r="H199" s="321"/>
      <c r="I199" s="23"/>
      <c r="J199" s="23"/>
      <c r="K199" s="21" t="s">
        <v>924</v>
      </c>
      <c r="L199" s="21" t="s">
        <v>508</v>
      </c>
      <c r="M199" s="21" t="s">
        <v>4</v>
      </c>
      <c r="N199" s="59">
        <f>334249.45/1000</f>
        <v>334.24945</v>
      </c>
      <c r="O199" s="59">
        <f>332198.54/1000</f>
        <v>332.19854</v>
      </c>
      <c r="P199" s="59">
        <v>199.9</v>
      </c>
      <c r="Q199" s="59">
        <v>292</v>
      </c>
      <c r="R199" s="61">
        <v>307.2</v>
      </c>
      <c r="S199" s="61">
        <v>322.2</v>
      </c>
    </row>
    <row r="200" spans="1:19" s="6" customFormat="1" ht="12.75" customHeight="1">
      <c r="A200" s="38" t="s">
        <v>17</v>
      </c>
      <c r="B200" s="174" t="s">
        <v>41</v>
      </c>
      <c r="C200" s="175"/>
      <c r="D200" s="175"/>
      <c r="E200" s="175"/>
      <c r="F200" s="175"/>
      <c r="G200" s="175"/>
      <c r="H200" s="175"/>
      <c r="I200" s="175"/>
      <c r="J200" s="175"/>
      <c r="K200" s="175"/>
      <c r="L200" s="175"/>
      <c r="M200" s="176"/>
      <c r="N200" s="50">
        <f aca="true" t="shared" si="16" ref="N200:S200">SUM(N201:N201)</f>
        <v>43180</v>
      </c>
      <c r="O200" s="50">
        <f t="shared" si="16"/>
        <v>43180</v>
      </c>
      <c r="P200" s="50">
        <f t="shared" si="16"/>
        <v>43065</v>
      </c>
      <c r="Q200" s="50">
        <f t="shared" si="16"/>
        <v>25151</v>
      </c>
      <c r="R200" s="50">
        <f t="shared" si="16"/>
        <v>26458.9</v>
      </c>
      <c r="S200" s="50">
        <f t="shared" si="16"/>
        <v>27755.3</v>
      </c>
    </row>
    <row r="201" spans="1:19" s="6" customFormat="1" ht="60.75" customHeight="1">
      <c r="A201" s="38"/>
      <c r="B201" s="11" t="s">
        <v>251</v>
      </c>
      <c r="C201" s="12"/>
      <c r="D201" s="49" t="s">
        <v>317</v>
      </c>
      <c r="E201" s="66" t="s">
        <v>34</v>
      </c>
      <c r="F201" s="66" t="s">
        <v>1181</v>
      </c>
      <c r="G201" s="66" t="s">
        <v>1116</v>
      </c>
      <c r="H201" s="66" t="s">
        <v>155</v>
      </c>
      <c r="I201" s="66" t="s">
        <v>156</v>
      </c>
      <c r="J201" s="66" t="s">
        <v>124</v>
      </c>
      <c r="K201" s="66" t="s">
        <v>933</v>
      </c>
      <c r="L201" s="66" t="s">
        <v>344</v>
      </c>
      <c r="M201" s="66" t="s">
        <v>403</v>
      </c>
      <c r="N201" s="51">
        <f>43180000/1000</f>
        <v>43180</v>
      </c>
      <c r="O201" s="51">
        <f>43180000/1000</f>
        <v>43180</v>
      </c>
      <c r="P201" s="51">
        <v>43065</v>
      </c>
      <c r="Q201" s="51">
        <v>25151</v>
      </c>
      <c r="R201" s="52">
        <v>26458.9</v>
      </c>
      <c r="S201" s="52">
        <v>27755.3</v>
      </c>
    </row>
    <row r="202" spans="1:19" s="2" customFormat="1" ht="12.75" customHeight="1">
      <c r="A202" s="38" t="s">
        <v>118</v>
      </c>
      <c r="B202" s="174" t="s">
        <v>20</v>
      </c>
      <c r="C202" s="175"/>
      <c r="D202" s="175"/>
      <c r="E202" s="175"/>
      <c r="F202" s="175"/>
      <c r="G202" s="175"/>
      <c r="H202" s="175"/>
      <c r="I202" s="175"/>
      <c r="J202" s="175"/>
      <c r="K202" s="175"/>
      <c r="L202" s="175"/>
      <c r="M202" s="176"/>
      <c r="N202" s="50">
        <f aca="true" t="shared" si="17" ref="N202:S202">N203</f>
        <v>100</v>
      </c>
      <c r="O202" s="50">
        <f t="shared" si="17"/>
        <v>83.8</v>
      </c>
      <c r="P202" s="50">
        <f t="shared" si="17"/>
        <v>106</v>
      </c>
      <c r="Q202" s="50">
        <f t="shared" si="17"/>
        <v>112.6</v>
      </c>
      <c r="R202" s="50">
        <f t="shared" si="17"/>
        <v>118.4</v>
      </c>
      <c r="S202" s="50">
        <f t="shared" si="17"/>
        <v>124.3</v>
      </c>
    </row>
    <row r="203" spans="1:19" s="3" customFormat="1" ht="36" customHeight="1">
      <c r="A203" s="227"/>
      <c r="B203" s="254" t="s">
        <v>259</v>
      </c>
      <c r="C203" s="12"/>
      <c r="D203" s="242" t="s">
        <v>147</v>
      </c>
      <c r="E203" s="21" t="s">
        <v>443</v>
      </c>
      <c r="F203" s="21" t="s">
        <v>444</v>
      </c>
      <c r="G203" s="21" t="s">
        <v>445</v>
      </c>
      <c r="H203" s="211" t="s">
        <v>451</v>
      </c>
      <c r="I203" s="211" t="s">
        <v>113</v>
      </c>
      <c r="J203" s="211" t="s">
        <v>452</v>
      </c>
      <c r="K203" s="211" t="s">
        <v>349</v>
      </c>
      <c r="L203" s="211" t="s">
        <v>350</v>
      </c>
      <c r="M203" s="211" t="s">
        <v>351</v>
      </c>
      <c r="N203" s="180">
        <f>100000/1000</f>
        <v>100</v>
      </c>
      <c r="O203" s="180">
        <f>83800/1000</f>
        <v>83.8</v>
      </c>
      <c r="P203" s="180">
        <v>106</v>
      </c>
      <c r="Q203" s="180">
        <v>112.6</v>
      </c>
      <c r="R203" s="207">
        <v>118.4</v>
      </c>
      <c r="S203" s="207">
        <v>124.3</v>
      </c>
    </row>
    <row r="204" spans="1:19" s="3" customFormat="1" ht="58.5" customHeight="1">
      <c r="A204" s="184"/>
      <c r="B204" s="254"/>
      <c r="C204" s="12"/>
      <c r="D204" s="242"/>
      <c r="E204" s="23" t="s">
        <v>34</v>
      </c>
      <c r="F204" s="23" t="s">
        <v>1182</v>
      </c>
      <c r="G204" s="23" t="s">
        <v>1116</v>
      </c>
      <c r="H204" s="211"/>
      <c r="I204" s="211"/>
      <c r="J204" s="211"/>
      <c r="K204" s="211"/>
      <c r="L204" s="211"/>
      <c r="M204" s="211"/>
      <c r="N204" s="180"/>
      <c r="O204" s="180"/>
      <c r="P204" s="180"/>
      <c r="Q204" s="180"/>
      <c r="R204" s="207"/>
      <c r="S204" s="207"/>
    </row>
    <row r="205" spans="1:19" s="2" customFormat="1" ht="22.5" customHeight="1">
      <c r="A205" s="38" t="s">
        <v>217</v>
      </c>
      <c r="B205" s="174" t="s">
        <v>1592</v>
      </c>
      <c r="C205" s="175"/>
      <c r="D205" s="175"/>
      <c r="E205" s="175"/>
      <c r="F205" s="175"/>
      <c r="G205" s="175"/>
      <c r="H205" s="175"/>
      <c r="I205" s="175"/>
      <c r="J205" s="175"/>
      <c r="K205" s="175"/>
      <c r="L205" s="175"/>
      <c r="M205" s="176"/>
      <c r="N205" s="51"/>
      <c r="O205" s="51"/>
      <c r="P205" s="51"/>
      <c r="Q205" s="57"/>
      <c r="R205" s="74"/>
      <c r="S205" s="74"/>
    </row>
    <row r="206" spans="1:19" s="6" customFormat="1" ht="12" customHeight="1">
      <c r="A206" s="38" t="s">
        <v>55</v>
      </c>
      <c r="B206" s="174" t="s">
        <v>1593</v>
      </c>
      <c r="C206" s="175"/>
      <c r="D206" s="175"/>
      <c r="E206" s="175"/>
      <c r="F206" s="175"/>
      <c r="G206" s="175"/>
      <c r="H206" s="175"/>
      <c r="I206" s="175"/>
      <c r="J206" s="175"/>
      <c r="K206" s="175"/>
      <c r="L206" s="175"/>
      <c r="M206" s="176"/>
      <c r="N206" s="50"/>
      <c r="O206" s="50"/>
      <c r="P206" s="50"/>
      <c r="Q206" s="63"/>
      <c r="R206" s="76"/>
      <c r="S206" s="76"/>
    </row>
    <row r="207" spans="1:19" s="2" customFormat="1" ht="10.5" customHeight="1">
      <c r="A207" s="38" t="s">
        <v>125</v>
      </c>
      <c r="B207" s="174" t="s">
        <v>292</v>
      </c>
      <c r="C207" s="175"/>
      <c r="D207" s="175"/>
      <c r="E207" s="175"/>
      <c r="F207" s="175"/>
      <c r="G207" s="175"/>
      <c r="H207" s="175"/>
      <c r="I207" s="175"/>
      <c r="J207" s="175"/>
      <c r="K207" s="175"/>
      <c r="L207" s="175"/>
      <c r="M207" s="176"/>
      <c r="N207" s="51"/>
      <c r="O207" s="51"/>
      <c r="P207" s="51"/>
      <c r="Q207" s="57"/>
      <c r="R207" s="74"/>
      <c r="S207" s="74"/>
    </row>
    <row r="208" spans="1:19" s="6" customFormat="1" ht="23.25" customHeight="1">
      <c r="A208" s="38" t="s">
        <v>52</v>
      </c>
      <c r="B208" s="245" t="s">
        <v>1594</v>
      </c>
      <c r="C208" s="246"/>
      <c r="D208" s="246"/>
      <c r="E208" s="246"/>
      <c r="F208" s="246"/>
      <c r="G208" s="246"/>
      <c r="H208" s="246"/>
      <c r="I208" s="246"/>
      <c r="J208" s="246"/>
      <c r="K208" s="246"/>
      <c r="L208" s="246"/>
      <c r="M208" s="247"/>
      <c r="N208" s="50">
        <f aca="true" t="shared" si="18" ref="N208:S208">SUM(N209:N212)</f>
        <v>7009.14253</v>
      </c>
      <c r="O208" s="50">
        <f t="shared" si="18"/>
        <v>3767.73053</v>
      </c>
      <c r="P208" s="50">
        <f t="shared" si="18"/>
        <v>3470.7780000000002</v>
      </c>
      <c r="Q208" s="50">
        <f t="shared" si="18"/>
        <v>455</v>
      </c>
      <c r="R208" s="50">
        <f t="shared" si="18"/>
        <v>478.7</v>
      </c>
      <c r="S208" s="50">
        <f t="shared" si="18"/>
        <v>502.1</v>
      </c>
    </row>
    <row r="209" spans="1:19" s="2" customFormat="1" ht="107.25" customHeight="1">
      <c r="A209" s="39"/>
      <c r="B209" s="11" t="s">
        <v>179</v>
      </c>
      <c r="C209" s="12"/>
      <c r="D209" s="44" t="s">
        <v>148</v>
      </c>
      <c r="E209" s="7" t="s">
        <v>34</v>
      </c>
      <c r="F209" s="7" t="s">
        <v>1183</v>
      </c>
      <c r="G209" s="7" t="s">
        <v>1116</v>
      </c>
      <c r="H209" s="7"/>
      <c r="I209" s="7"/>
      <c r="J209" s="7"/>
      <c r="K209" s="37" t="s">
        <v>799</v>
      </c>
      <c r="L209" s="37" t="s">
        <v>431</v>
      </c>
      <c r="M209" s="37" t="s">
        <v>425</v>
      </c>
      <c r="N209" s="51">
        <f>403842.53/1000</f>
        <v>403.84253</v>
      </c>
      <c r="O209" s="51">
        <f>390378.53/1000</f>
        <v>390.37853</v>
      </c>
      <c r="P209" s="51">
        <v>0</v>
      </c>
      <c r="Q209" s="51">
        <v>0</v>
      </c>
      <c r="R209" s="52">
        <v>0</v>
      </c>
      <c r="S209" s="52">
        <v>0</v>
      </c>
    </row>
    <row r="210" spans="1:19" s="2" customFormat="1" ht="60" customHeight="1">
      <c r="A210" s="39"/>
      <c r="B210" s="25" t="s">
        <v>179</v>
      </c>
      <c r="C210" s="19"/>
      <c r="D210" s="45" t="s">
        <v>148</v>
      </c>
      <c r="E210" s="7" t="s">
        <v>34</v>
      </c>
      <c r="F210" s="7" t="s">
        <v>1183</v>
      </c>
      <c r="G210" s="7" t="s">
        <v>1116</v>
      </c>
      <c r="H210" s="7"/>
      <c r="I210" s="7"/>
      <c r="J210" s="7"/>
      <c r="K210" s="37" t="s">
        <v>925</v>
      </c>
      <c r="L210" s="37" t="s">
        <v>94</v>
      </c>
      <c r="M210" s="37" t="s">
        <v>912</v>
      </c>
      <c r="N210" s="51">
        <v>0</v>
      </c>
      <c r="O210" s="51">
        <v>0</v>
      </c>
      <c r="P210" s="51">
        <v>330</v>
      </c>
      <c r="Q210" s="51">
        <v>455</v>
      </c>
      <c r="R210" s="52">
        <v>478.7</v>
      </c>
      <c r="S210" s="52">
        <v>502.1</v>
      </c>
    </row>
    <row r="211" spans="1:19" s="2" customFormat="1" ht="69" customHeight="1">
      <c r="A211" s="248"/>
      <c r="B211" s="254" t="s">
        <v>121</v>
      </c>
      <c r="C211" s="12"/>
      <c r="D211" s="242" t="s">
        <v>224</v>
      </c>
      <c r="E211" s="215" t="s">
        <v>34</v>
      </c>
      <c r="F211" s="215" t="s">
        <v>1183</v>
      </c>
      <c r="G211" s="215" t="s">
        <v>1116</v>
      </c>
      <c r="H211" s="215"/>
      <c r="I211" s="215"/>
      <c r="J211" s="215"/>
      <c r="K211" s="211" t="s">
        <v>926</v>
      </c>
      <c r="L211" s="211" t="s">
        <v>178</v>
      </c>
      <c r="M211" s="211" t="s">
        <v>263</v>
      </c>
      <c r="N211" s="53">
        <f>4185300/1000</f>
        <v>4185.3</v>
      </c>
      <c r="O211" s="53">
        <f>1627405/1000</f>
        <v>1627.405</v>
      </c>
      <c r="P211" s="53">
        <f>2557895/1000</f>
        <v>2557.895</v>
      </c>
      <c r="Q211" s="53">
        <v>0</v>
      </c>
      <c r="R211" s="53">
        <v>0</v>
      </c>
      <c r="S211" s="53">
        <v>0</v>
      </c>
    </row>
    <row r="212" spans="1:19" s="2" customFormat="1" ht="63" customHeight="1">
      <c r="A212" s="248"/>
      <c r="B212" s="254"/>
      <c r="C212" s="12"/>
      <c r="D212" s="242"/>
      <c r="E212" s="217"/>
      <c r="F212" s="217"/>
      <c r="G212" s="217"/>
      <c r="H212" s="217"/>
      <c r="I212" s="217"/>
      <c r="J212" s="217"/>
      <c r="K212" s="211"/>
      <c r="L212" s="211"/>
      <c r="M212" s="211"/>
      <c r="N212" s="54">
        <f>2420000/1000</f>
        <v>2420</v>
      </c>
      <c r="O212" s="54">
        <f>1749947/1000</f>
        <v>1749.947</v>
      </c>
      <c r="P212" s="54">
        <f>582883/1000</f>
        <v>582.883</v>
      </c>
      <c r="Q212" s="54">
        <v>0</v>
      </c>
      <c r="R212" s="54">
        <v>0</v>
      </c>
      <c r="S212" s="54">
        <v>0</v>
      </c>
    </row>
    <row r="213" spans="1:19" s="2" customFormat="1" ht="23.25" customHeight="1">
      <c r="A213" s="38" t="s">
        <v>22</v>
      </c>
      <c r="B213" s="174" t="s">
        <v>23</v>
      </c>
      <c r="C213" s="175"/>
      <c r="D213" s="175"/>
      <c r="E213" s="175"/>
      <c r="F213" s="175"/>
      <c r="G213" s="175"/>
      <c r="H213" s="175"/>
      <c r="I213" s="175"/>
      <c r="J213" s="175"/>
      <c r="K213" s="175"/>
      <c r="L213" s="175"/>
      <c r="M213" s="176"/>
      <c r="N213" s="50">
        <f aca="true" t="shared" si="19" ref="N213:S213">SUM(N214:N219)</f>
        <v>3923.2429399999996</v>
      </c>
      <c r="O213" s="50">
        <f t="shared" si="19"/>
        <v>3560.2659</v>
      </c>
      <c r="P213" s="50">
        <f t="shared" si="19"/>
        <v>4511.525360000001</v>
      </c>
      <c r="Q213" s="50">
        <f t="shared" si="19"/>
        <v>6589.4</v>
      </c>
      <c r="R213" s="50">
        <f t="shared" si="19"/>
        <v>3592.7000000000003</v>
      </c>
      <c r="S213" s="50">
        <f t="shared" si="19"/>
        <v>3717</v>
      </c>
    </row>
    <row r="214" spans="1:19" s="3" customFormat="1" ht="227.25" customHeight="1">
      <c r="A214" s="39"/>
      <c r="B214" s="11" t="s">
        <v>85</v>
      </c>
      <c r="C214" s="12"/>
      <c r="D214" s="44" t="s">
        <v>841</v>
      </c>
      <c r="E214" s="7" t="s">
        <v>34</v>
      </c>
      <c r="F214" s="7" t="s">
        <v>50</v>
      </c>
      <c r="G214" s="7" t="s">
        <v>1116</v>
      </c>
      <c r="H214" s="7"/>
      <c r="I214" s="7"/>
      <c r="J214" s="7"/>
      <c r="K214" s="7" t="s">
        <v>1580</v>
      </c>
      <c r="L214" s="7" t="s">
        <v>180</v>
      </c>
      <c r="M214" s="7" t="s">
        <v>181</v>
      </c>
      <c r="N214" s="51">
        <f>2586035.94/1000</f>
        <v>2586.0359399999998</v>
      </c>
      <c r="O214" s="51">
        <f>2231083.81/1000</f>
        <v>2231.08381</v>
      </c>
      <c r="P214" s="51">
        <f>1498.506+915.1</f>
        <v>2413.606</v>
      </c>
      <c r="Q214" s="51">
        <v>3159</v>
      </c>
      <c r="R214" s="52">
        <v>3273.4</v>
      </c>
      <c r="S214" s="52">
        <v>3386.8</v>
      </c>
    </row>
    <row r="215" spans="1:19" s="3" customFormat="1" ht="106.5" customHeight="1">
      <c r="A215" s="39"/>
      <c r="B215" s="11" t="s">
        <v>616</v>
      </c>
      <c r="C215" s="12"/>
      <c r="D215" s="44" t="s">
        <v>842</v>
      </c>
      <c r="E215" s="7" t="s">
        <v>34</v>
      </c>
      <c r="F215" s="7" t="s">
        <v>50</v>
      </c>
      <c r="G215" s="7" t="s">
        <v>1116</v>
      </c>
      <c r="H215" s="7"/>
      <c r="I215" s="7"/>
      <c r="J215" s="7"/>
      <c r="K215" s="7" t="s">
        <v>928</v>
      </c>
      <c r="L215" s="7" t="s">
        <v>245</v>
      </c>
      <c r="M215" s="7" t="s">
        <v>348</v>
      </c>
      <c r="N215" s="51">
        <f>(1050000+99120)/1000</f>
        <v>1149.12</v>
      </c>
      <c r="O215" s="51">
        <f>1149116/1000</f>
        <v>1149.116</v>
      </c>
      <c r="P215" s="51">
        <v>1797.61936</v>
      </c>
      <c r="Q215" s="51">
        <v>3122</v>
      </c>
      <c r="R215" s="52">
        <v>0</v>
      </c>
      <c r="S215" s="52">
        <v>0</v>
      </c>
    </row>
    <row r="216" spans="1:19" s="3" customFormat="1" ht="106.5" customHeight="1">
      <c r="A216" s="40"/>
      <c r="B216" s="32" t="s">
        <v>994</v>
      </c>
      <c r="C216" s="19"/>
      <c r="D216" s="45" t="s">
        <v>842</v>
      </c>
      <c r="E216" s="7" t="s">
        <v>1184</v>
      </c>
      <c r="F216" s="7" t="s">
        <v>1185</v>
      </c>
      <c r="G216" s="7" t="s">
        <v>1116</v>
      </c>
      <c r="H216" s="21"/>
      <c r="I216" s="21"/>
      <c r="J216" s="21"/>
      <c r="K216" s="30" t="s">
        <v>1082</v>
      </c>
      <c r="L216" s="30" t="s">
        <v>245</v>
      </c>
      <c r="M216" s="68" t="s">
        <v>1083</v>
      </c>
      <c r="N216" s="53">
        <v>0</v>
      </c>
      <c r="O216" s="53">
        <v>0</v>
      </c>
      <c r="P216" s="53">
        <v>100</v>
      </c>
      <c r="Q216" s="53">
        <v>0</v>
      </c>
      <c r="R216" s="56">
        <v>0</v>
      </c>
      <c r="S216" s="56">
        <v>0</v>
      </c>
    </row>
    <row r="217" spans="1:19" s="3" customFormat="1" ht="177" customHeight="1">
      <c r="A217" s="39"/>
      <c r="B217" s="77" t="s">
        <v>1515</v>
      </c>
      <c r="C217" s="19"/>
      <c r="D217" s="45" t="s">
        <v>842</v>
      </c>
      <c r="E217" s="7" t="s">
        <v>34</v>
      </c>
      <c r="F217" s="7" t="s">
        <v>50</v>
      </c>
      <c r="G217" s="7" t="s">
        <v>35</v>
      </c>
      <c r="H217" s="7"/>
      <c r="I217" s="7"/>
      <c r="J217" s="7"/>
      <c r="K217" s="30" t="s">
        <v>810</v>
      </c>
      <c r="L217" s="30"/>
      <c r="M217" s="68"/>
      <c r="N217" s="51">
        <v>0</v>
      </c>
      <c r="O217" s="51">
        <v>0</v>
      </c>
      <c r="P217" s="51">
        <v>0</v>
      </c>
      <c r="Q217" s="51">
        <v>98</v>
      </c>
      <c r="R217" s="52">
        <v>98</v>
      </c>
      <c r="S217" s="52">
        <v>98</v>
      </c>
    </row>
    <row r="218" spans="1:19" s="3" customFormat="1" ht="81.75" customHeight="1">
      <c r="A218" s="227"/>
      <c r="B218" s="195" t="s">
        <v>260</v>
      </c>
      <c r="C218" s="19"/>
      <c r="D218" s="212" t="s">
        <v>927</v>
      </c>
      <c r="E218" s="215" t="s">
        <v>34</v>
      </c>
      <c r="F218" s="215" t="s">
        <v>50</v>
      </c>
      <c r="G218" s="215" t="s">
        <v>1116</v>
      </c>
      <c r="H218" s="215" t="s">
        <v>462</v>
      </c>
      <c r="I218" s="215" t="s">
        <v>461</v>
      </c>
      <c r="J218" s="215" t="s">
        <v>463</v>
      </c>
      <c r="K218" s="28" t="s">
        <v>432</v>
      </c>
      <c r="L218" s="28" t="s">
        <v>433</v>
      </c>
      <c r="M218" s="28" t="s">
        <v>428</v>
      </c>
      <c r="N218" s="53">
        <f>188087/1000</f>
        <v>188.087</v>
      </c>
      <c r="O218" s="53">
        <f>180066.09/1000</f>
        <v>180.06609</v>
      </c>
      <c r="P218" s="53">
        <v>0</v>
      </c>
      <c r="Q218" s="53">
        <v>0</v>
      </c>
      <c r="R218" s="56">
        <v>0</v>
      </c>
      <c r="S218" s="56">
        <v>0</v>
      </c>
    </row>
    <row r="219" spans="1:19" s="3" customFormat="1" ht="60" customHeight="1">
      <c r="A219" s="184"/>
      <c r="B219" s="198"/>
      <c r="C219" s="20"/>
      <c r="D219" s="214"/>
      <c r="E219" s="217"/>
      <c r="F219" s="217"/>
      <c r="G219" s="217"/>
      <c r="H219" s="217"/>
      <c r="I219" s="217"/>
      <c r="J219" s="217"/>
      <c r="K219" s="29" t="s">
        <v>843</v>
      </c>
      <c r="L219" s="29" t="s">
        <v>823</v>
      </c>
      <c r="M219" s="29" t="s">
        <v>822</v>
      </c>
      <c r="N219" s="59">
        <v>0</v>
      </c>
      <c r="O219" s="59">
        <v>0</v>
      </c>
      <c r="P219" s="59">
        <v>200.3</v>
      </c>
      <c r="Q219" s="59">
        <v>210.4</v>
      </c>
      <c r="R219" s="61">
        <v>221.3</v>
      </c>
      <c r="S219" s="61">
        <v>232.2</v>
      </c>
    </row>
    <row r="220" spans="1:19" s="2" customFormat="1" ht="12.75" customHeight="1">
      <c r="A220" s="38" t="s">
        <v>90</v>
      </c>
      <c r="B220" s="174" t="s">
        <v>119</v>
      </c>
      <c r="C220" s="175"/>
      <c r="D220" s="175"/>
      <c r="E220" s="175"/>
      <c r="F220" s="175"/>
      <c r="G220" s="175"/>
      <c r="H220" s="175"/>
      <c r="I220" s="175"/>
      <c r="J220" s="175"/>
      <c r="K220" s="175"/>
      <c r="L220" s="175"/>
      <c r="M220" s="176"/>
      <c r="N220" s="50">
        <f aca="true" t="shared" si="20" ref="N220:S220">SUM(N221:N225)</f>
        <v>1071.9</v>
      </c>
      <c r="O220" s="50">
        <f t="shared" si="20"/>
        <v>1051.565</v>
      </c>
      <c r="P220" s="50">
        <f t="shared" si="20"/>
        <v>829.086</v>
      </c>
      <c r="Q220" s="50">
        <f t="shared" si="20"/>
        <v>766.6</v>
      </c>
      <c r="R220" s="50">
        <f t="shared" si="20"/>
        <v>838.4000000000001</v>
      </c>
      <c r="S220" s="50">
        <f t="shared" si="20"/>
        <v>885.9000000000001</v>
      </c>
    </row>
    <row r="221" spans="1:19" s="3" customFormat="1" ht="48" customHeight="1">
      <c r="A221" s="227"/>
      <c r="B221" s="195" t="s">
        <v>314</v>
      </c>
      <c r="C221" s="12"/>
      <c r="D221" s="45" t="s">
        <v>305</v>
      </c>
      <c r="E221" s="215" t="s">
        <v>465</v>
      </c>
      <c r="F221" s="215" t="s">
        <v>51</v>
      </c>
      <c r="G221" s="215" t="s">
        <v>1116</v>
      </c>
      <c r="H221" s="215" t="s">
        <v>464</v>
      </c>
      <c r="I221" s="215" t="s">
        <v>466</v>
      </c>
      <c r="J221" s="215" t="s">
        <v>467</v>
      </c>
      <c r="K221" s="215" t="s">
        <v>961</v>
      </c>
      <c r="L221" s="215" t="s">
        <v>245</v>
      </c>
      <c r="M221" s="215" t="s">
        <v>177</v>
      </c>
      <c r="N221" s="53">
        <f>24000/1000</f>
        <v>24</v>
      </c>
      <c r="O221" s="53">
        <f>24000/1000</f>
        <v>24</v>
      </c>
      <c r="P221" s="53">
        <v>52</v>
      </c>
      <c r="Q221" s="53">
        <v>48</v>
      </c>
      <c r="R221" s="56">
        <v>52</v>
      </c>
      <c r="S221" s="56">
        <v>56</v>
      </c>
    </row>
    <row r="222" spans="1:19" s="3" customFormat="1" ht="48" customHeight="1">
      <c r="A222" s="184"/>
      <c r="B222" s="198"/>
      <c r="C222" s="19"/>
      <c r="D222" s="48" t="s">
        <v>16</v>
      </c>
      <c r="E222" s="217"/>
      <c r="F222" s="217"/>
      <c r="G222" s="217"/>
      <c r="H222" s="217"/>
      <c r="I222" s="217"/>
      <c r="J222" s="217"/>
      <c r="K222" s="217"/>
      <c r="L222" s="217"/>
      <c r="M222" s="217"/>
      <c r="N222" s="59">
        <f>180000/1000</f>
        <v>180</v>
      </c>
      <c r="O222" s="59">
        <f>180000/1000</f>
        <v>180</v>
      </c>
      <c r="P222" s="59">
        <v>210</v>
      </c>
      <c r="Q222" s="59">
        <v>162</v>
      </c>
      <c r="R222" s="61">
        <v>201</v>
      </c>
      <c r="S222" s="61">
        <v>229</v>
      </c>
    </row>
    <row r="223" spans="1:19" s="3" customFormat="1" ht="72" customHeight="1">
      <c r="A223" s="39"/>
      <c r="B223" s="11" t="s">
        <v>45</v>
      </c>
      <c r="C223" s="12"/>
      <c r="D223" s="44" t="s">
        <v>146</v>
      </c>
      <c r="E223" s="7" t="s">
        <v>34</v>
      </c>
      <c r="F223" s="7" t="s">
        <v>51</v>
      </c>
      <c r="G223" s="7" t="s">
        <v>1116</v>
      </c>
      <c r="H223" s="7"/>
      <c r="I223" s="7"/>
      <c r="J223" s="7"/>
      <c r="K223" s="7" t="s">
        <v>816</v>
      </c>
      <c r="L223" s="7" t="s">
        <v>39</v>
      </c>
      <c r="M223" s="7" t="s">
        <v>84</v>
      </c>
      <c r="N223" s="51">
        <f>251000/1000</f>
        <v>251</v>
      </c>
      <c r="O223" s="51">
        <f>250690/1000</f>
        <v>250.69</v>
      </c>
      <c r="P223" s="51">
        <v>301.5</v>
      </c>
      <c r="Q223" s="51">
        <v>300</v>
      </c>
      <c r="R223" s="51">
        <v>315.6</v>
      </c>
      <c r="S223" s="51">
        <v>331.1</v>
      </c>
    </row>
    <row r="224" spans="1:19" s="6" customFormat="1" ht="81" customHeight="1">
      <c r="A224" s="38"/>
      <c r="B224" s="11" t="s">
        <v>316</v>
      </c>
      <c r="C224" s="12"/>
      <c r="D224" s="44" t="s">
        <v>809</v>
      </c>
      <c r="E224" s="7" t="s">
        <v>468</v>
      </c>
      <c r="F224" s="7" t="s">
        <v>469</v>
      </c>
      <c r="G224" s="7" t="s">
        <v>470</v>
      </c>
      <c r="H224" s="7" t="s">
        <v>471</v>
      </c>
      <c r="I224" s="7" t="s">
        <v>245</v>
      </c>
      <c r="J224" s="7" t="s">
        <v>472</v>
      </c>
      <c r="K224" s="30" t="s">
        <v>780</v>
      </c>
      <c r="L224" s="30" t="s">
        <v>194</v>
      </c>
      <c r="M224" s="7" t="s">
        <v>574</v>
      </c>
      <c r="N224" s="51">
        <f>250000/1000</f>
        <v>250</v>
      </c>
      <c r="O224" s="51">
        <f>229975/1000</f>
        <v>229.975</v>
      </c>
      <c r="P224" s="51">
        <v>0</v>
      </c>
      <c r="Q224" s="51">
        <v>0</v>
      </c>
      <c r="R224" s="51">
        <v>0</v>
      </c>
      <c r="S224" s="51">
        <v>0</v>
      </c>
    </row>
    <row r="225" spans="1:19" s="3" customFormat="1" ht="61.5" customHeight="1">
      <c r="A225" s="39"/>
      <c r="B225" s="11" t="s">
        <v>272</v>
      </c>
      <c r="C225" s="12"/>
      <c r="D225" s="44" t="s">
        <v>305</v>
      </c>
      <c r="E225" s="7" t="s">
        <v>34</v>
      </c>
      <c r="F225" s="7" t="s">
        <v>9</v>
      </c>
      <c r="G225" s="7" t="s">
        <v>1116</v>
      </c>
      <c r="H225" s="7"/>
      <c r="I225" s="7"/>
      <c r="J225" s="7"/>
      <c r="K225" s="30" t="s">
        <v>779</v>
      </c>
      <c r="L225" s="30" t="s">
        <v>200</v>
      </c>
      <c r="M225" s="30" t="s">
        <v>408</v>
      </c>
      <c r="N225" s="51">
        <f>366900/1000</f>
        <v>366.9</v>
      </c>
      <c r="O225" s="51">
        <f>366900/1000</f>
        <v>366.9</v>
      </c>
      <c r="P225" s="51">
        <v>265.586</v>
      </c>
      <c r="Q225" s="51">
        <v>256.6</v>
      </c>
      <c r="R225" s="52">
        <v>269.8</v>
      </c>
      <c r="S225" s="52">
        <v>269.8</v>
      </c>
    </row>
    <row r="226" spans="1:19" s="2" customFormat="1" ht="22.5" customHeight="1">
      <c r="A226" s="38" t="s">
        <v>235</v>
      </c>
      <c r="B226" s="174" t="s">
        <v>1595</v>
      </c>
      <c r="C226" s="175"/>
      <c r="D226" s="175"/>
      <c r="E226" s="175"/>
      <c r="F226" s="175"/>
      <c r="G226" s="175"/>
      <c r="H226" s="175"/>
      <c r="I226" s="175"/>
      <c r="J226" s="175"/>
      <c r="K226" s="175"/>
      <c r="L226" s="175"/>
      <c r="M226" s="176"/>
      <c r="N226" s="51"/>
      <c r="O226" s="51"/>
      <c r="P226" s="51"/>
      <c r="Q226" s="57"/>
      <c r="R226" s="74"/>
      <c r="S226" s="74"/>
    </row>
    <row r="227" spans="1:19" s="2" customFormat="1" ht="12" customHeight="1">
      <c r="A227" s="38" t="s">
        <v>1124</v>
      </c>
      <c r="B227" s="174" t="s">
        <v>1125</v>
      </c>
      <c r="C227" s="175"/>
      <c r="D227" s="175"/>
      <c r="E227" s="175"/>
      <c r="F227" s="175"/>
      <c r="G227" s="175"/>
      <c r="H227" s="175"/>
      <c r="I227" s="175"/>
      <c r="J227" s="175"/>
      <c r="K227" s="175"/>
      <c r="L227" s="175"/>
      <c r="M227" s="176"/>
      <c r="N227" s="51"/>
      <c r="O227" s="51"/>
      <c r="P227" s="51"/>
      <c r="Q227" s="57"/>
      <c r="R227" s="74"/>
      <c r="S227" s="74"/>
    </row>
    <row r="228" spans="1:19" s="2" customFormat="1" ht="12" customHeight="1">
      <c r="A228" s="38" t="s">
        <v>1126</v>
      </c>
      <c r="B228" s="174" t="s">
        <v>1127</v>
      </c>
      <c r="C228" s="175"/>
      <c r="D228" s="175"/>
      <c r="E228" s="175"/>
      <c r="F228" s="175"/>
      <c r="G228" s="175"/>
      <c r="H228" s="175"/>
      <c r="I228" s="175"/>
      <c r="J228" s="175"/>
      <c r="K228" s="175"/>
      <c r="L228" s="175"/>
      <c r="M228" s="176"/>
      <c r="N228" s="51"/>
      <c r="O228" s="51"/>
      <c r="P228" s="51"/>
      <c r="Q228" s="57"/>
      <c r="R228" s="74"/>
      <c r="S228" s="74"/>
    </row>
    <row r="229" spans="1:19" s="2" customFormat="1" ht="12" customHeight="1">
      <c r="A229" s="38" t="s">
        <v>1128</v>
      </c>
      <c r="B229" s="174" t="s">
        <v>1596</v>
      </c>
      <c r="C229" s="175"/>
      <c r="D229" s="175"/>
      <c r="E229" s="175"/>
      <c r="F229" s="175"/>
      <c r="G229" s="175"/>
      <c r="H229" s="175"/>
      <c r="I229" s="175"/>
      <c r="J229" s="175"/>
      <c r="K229" s="175"/>
      <c r="L229" s="175"/>
      <c r="M229" s="176"/>
      <c r="N229" s="51"/>
      <c r="O229" s="51"/>
      <c r="P229" s="51"/>
      <c r="Q229" s="57"/>
      <c r="R229" s="74"/>
      <c r="S229" s="74"/>
    </row>
    <row r="230" spans="1:19" s="2" customFormat="1" ht="24" customHeight="1">
      <c r="A230" s="38" t="s">
        <v>1129</v>
      </c>
      <c r="B230" s="174" t="s">
        <v>1130</v>
      </c>
      <c r="C230" s="175"/>
      <c r="D230" s="175"/>
      <c r="E230" s="175"/>
      <c r="F230" s="175"/>
      <c r="G230" s="175"/>
      <c r="H230" s="175"/>
      <c r="I230" s="175"/>
      <c r="J230" s="175"/>
      <c r="K230" s="175"/>
      <c r="L230" s="175"/>
      <c r="M230" s="176"/>
      <c r="N230" s="51"/>
      <c r="O230" s="51"/>
      <c r="P230" s="51"/>
      <c r="Q230" s="57"/>
      <c r="R230" s="74"/>
      <c r="S230" s="74"/>
    </row>
    <row r="231" spans="1:19" s="2" customFormat="1" ht="12" customHeight="1">
      <c r="A231" s="38" t="s">
        <v>1131</v>
      </c>
      <c r="B231" s="174" t="s">
        <v>1132</v>
      </c>
      <c r="C231" s="175"/>
      <c r="D231" s="175"/>
      <c r="E231" s="175"/>
      <c r="F231" s="175"/>
      <c r="G231" s="175"/>
      <c r="H231" s="175"/>
      <c r="I231" s="175"/>
      <c r="J231" s="175"/>
      <c r="K231" s="175"/>
      <c r="L231" s="175"/>
      <c r="M231" s="176"/>
      <c r="N231" s="51"/>
      <c r="O231" s="51"/>
      <c r="P231" s="51"/>
      <c r="Q231" s="57"/>
      <c r="R231" s="74"/>
      <c r="S231" s="74"/>
    </row>
    <row r="232" spans="1:19" s="2" customFormat="1" ht="12" customHeight="1">
      <c r="A232" s="38" t="s">
        <v>1597</v>
      </c>
      <c r="B232" s="174" t="s">
        <v>1598</v>
      </c>
      <c r="C232" s="252"/>
      <c r="D232" s="252"/>
      <c r="E232" s="252"/>
      <c r="F232" s="252"/>
      <c r="G232" s="252"/>
      <c r="H232" s="252"/>
      <c r="I232" s="252"/>
      <c r="J232" s="252"/>
      <c r="K232" s="252"/>
      <c r="L232" s="252"/>
      <c r="M232" s="253"/>
      <c r="N232" s="51"/>
      <c r="O232" s="51"/>
      <c r="P232" s="51"/>
      <c r="Q232" s="57"/>
      <c r="R232" s="74"/>
      <c r="S232" s="74"/>
    </row>
    <row r="233" spans="1:19" s="2" customFormat="1" ht="22.5" customHeight="1">
      <c r="A233" s="38" t="s">
        <v>1599</v>
      </c>
      <c r="B233" s="174" t="s">
        <v>1600</v>
      </c>
      <c r="C233" s="175"/>
      <c r="D233" s="175"/>
      <c r="E233" s="175"/>
      <c r="F233" s="175"/>
      <c r="G233" s="175"/>
      <c r="H233" s="175"/>
      <c r="I233" s="175"/>
      <c r="J233" s="175"/>
      <c r="K233" s="175"/>
      <c r="L233" s="175"/>
      <c r="M233" s="176"/>
      <c r="N233" s="51"/>
      <c r="O233" s="51"/>
      <c r="P233" s="51"/>
      <c r="Q233" s="57"/>
      <c r="R233" s="74"/>
      <c r="S233" s="74"/>
    </row>
    <row r="234" spans="1:19" s="2" customFormat="1" ht="12.75" customHeight="1">
      <c r="A234" s="38" t="s">
        <v>1133</v>
      </c>
      <c r="B234" s="174" t="s">
        <v>1134</v>
      </c>
      <c r="C234" s="175"/>
      <c r="D234" s="175"/>
      <c r="E234" s="175"/>
      <c r="F234" s="175"/>
      <c r="G234" s="175"/>
      <c r="H234" s="175"/>
      <c r="I234" s="175"/>
      <c r="J234" s="175"/>
      <c r="K234" s="175"/>
      <c r="L234" s="175"/>
      <c r="M234" s="176"/>
      <c r="N234" s="51"/>
      <c r="O234" s="51"/>
      <c r="P234" s="51"/>
      <c r="Q234" s="57"/>
      <c r="R234" s="74"/>
      <c r="S234" s="74"/>
    </row>
    <row r="235" spans="1:19" s="2" customFormat="1" ht="24" customHeight="1">
      <c r="A235" s="38" t="s">
        <v>941</v>
      </c>
      <c r="B235" s="174" t="s">
        <v>942</v>
      </c>
      <c r="C235" s="175"/>
      <c r="D235" s="175"/>
      <c r="E235" s="175"/>
      <c r="F235" s="175"/>
      <c r="G235" s="175"/>
      <c r="H235" s="175"/>
      <c r="I235" s="175"/>
      <c r="J235" s="175"/>
      <c r="K235" s="175"/>
      <c r="L235" s="175"/>
      <c r="M235" s="176"/>
      <c r="N235" s="50">
        <f aca="true" t="shared" si="21" ref="N235:S235">SUM(N236:N239)</f>
        <v>3503</v>
      </c>
      <c r="O235" s="50">
        <f t="shared" si="21"/>
        <v>3474.3374200000003</v>
      </c>
      <c r="P235" s="50">
        <f t="shared" si="21"/>
        <v>222.82578</v>
      </c>
      <c r="Q235" s="50">
        <f t="shared" si="21"/>
        <v>200</v>
      </c>
      <c r="R235" s="50">
        <f t="shared" si="21"/>
        <v>210.4</v>
      </c>
      <c r="S235" s="50">
        <f t="shared" si="21"/>
        <v>220.7</v>
      </c>
    </row>
    <row r="236" spans="1:19" s="3" customFormat="1" ht="72.75" customHeight="1">
      <c r="A236" s="39"/>
      <c r="B236" s="11" t="s">
        <v>818</v>
      </c>
      <c r="C236" s="12"/>
      <c r="D236" s="44" t="s">
        <v>199</v>
      </c>
      <c r="E236" s="7" t="s">
        <v>34</v>
      </c>
      <c r="F236" s="7" t="s">
        <v>1186</v>
      </c>
      <c r="G236" s="10" t="s">
        <v>1117</v>
      </c>
      <c r="H236" s="7" t="s">
        <v>248</v>
      </c>
      <c r="I236" s="7" t="s">
        <v>212</v>
      </c>
      <c r="J236" s="7" t="s">
        <v>33</v>
      </c>
      <c r="K236" s="7" t="s">
        <v>819</v>
      </c>
      <c r="L236" s="7" t="s">
        <v>113</v>
      </c>
      <c r="M236" s="7" t="s">
        <v>33</v>
      </c>
      <c r="N236" s="51">
        <f>193000/1000</f>
        <v>193</v>
      </c>
      <c r="O236" s="51">
        <f>187163.2/1000</f>
        <v>187.16320000000002</v>
      </c>
      <c r="P236" s="51">
        <v>200</v>
      </c>
      <c r="Q236" s="51">
        <v>200</v>
      </c>
      <c r="R236" s="52">
        <v>210.4</v>
      </c>
      <c r="S236" s="52">
        <v>220.7</v>
      </c>
    </row>
    <row r="237" spans="1:19" s="3" customFormat="1" ht="72.75" customHeight="1">
      <c r="A237" s="227"/>
      <c r="B237" s="231" t="s">
        <v>609</v>
      </c>
      <c r="C237" s="12"/>
      <c r="D237" s="212" t="s">
        <v>110</v>
      </c>
      <c r="E237" s="215" t="s">
        <v>34</v>
      </c>
      <c r="F237" s="215" t="s">
        <v>1186</v>
      </c>
      <c r="G237" s="215" t="s">
        <v>1116</v>
      </c>
      <c r="H237" s="215" t="s">
        <v>634</v>
      </c>
      <c r="I237" s="215" t="s">
        <v>635</v>
      </c>
      <c r="J237" s="228" t="s">
        <v>636</v>
      </c>
      <c r="K237" s="28" t="s">
        <v>611</v>
      </c>
      <c r="L237" s="28" t="s">
        <v>11</v>
      </c>
      <c r="M237" s="70" t="s">
        <v>612</v>
      </c>
      <c r="N237" s="185">
        <f>3310000/1000</f>
        <v>3310</v>
      </c>
      <c r="O237" s="185">
        <f>3287174.22/1000</f>
        <v>3287.1742200000003</v>
      </c>
      <c r="P237" s="185">
        <v>0</v>
      </c>
      <c r="Q237" s="185">
        <v>0</v>
      </c>
      <c r="R237" s="188">
        <v>0</v>
      </c>
      <c r="S237" s="188">
        <v>0</v>
      </c>
    </row>
    <row r="238" spans="1:19" s="3" customFormat="1" ht="61.5" customHeight="1">
      <c r="A238" s="183"/>
      <c r="B238" s="181"/>
      <c r="C238" s="12"/>
      <c r="D238" s="213"/>
      <c r="E238" s="216"/>
      <c r="F238" s="216"/>
      <c r="G238" s="216"/>
      <c r="H238" s="216"/>
      <c r="I238" s="216"/>
      <c r="J238" s="229"/>
      <c r="K238" s="92" t="s">
        <v>613</v>
      </c>
      <c r="L238" s="92" t="s">
        <v>245</v>
      </c>
      <c r="M238" s="98" t="s">
        <v>614</v>
      </c>
      <c r="N238" s="186"/>
      <c r="O238" s="186"/>
      <c r="P238" s="186"/>
      <c r="Q238" s="186"/>
      <c r="R238" s="190"/>
      <c r="S238" s="190"/>
    </row>
    <row r="239" spans="1:19" s="3" customFormat="1" ht="118.5" customHeight="1">
      <c r="A239" s="184"/>
      <c r="B239" s="182"/>
      <c r="C239" s="12"/>
      <c r="D239" s="214"/>
      <c r="E239" s="217"/>
      <c r="F239" s="217"/>
      <c r="G239" s="217"/>
      <c r="H239" s="217"/>
      <c r="I239" s="217"/>
      <c r="J239" s="230"/>
      <c r="K239" s="29" t="s">
        <v>922</v>
      </c>
      <c r="L239" s="29" t="s">
        <v>194</v>
      </c>
      <c r="M239" s="71" t="s">
        <v>923</v>
      </c>
      <c r="N239" s="59">
        <v>0</v>
      </c>
      <c r="O239" s="59">
        <v>0</v>
      </c>
      <c r="P239" s="59">
        <v>22.82578</v>
      </c>
      <c r="Q239" s="59">
        <v>0</v>
      </c>
      <c r="R239" s="61">
        <v>0</v>
      </c>
      <c r="S239" s="61">
        <v>0</v>
      </c>
    </row>
    <row r="240" spans="1:19" s="2" customFormat="1" ht="34.5" customHeight="1">
      <c r="A240" s="38" t="s">
        <v>982</v>
      </c>
      <c r="B240" s="174" t="s">
        <v>983</v>
      </c>
      <c r="C240" s="175"/>
      <c r="D240" s="175"/>
      <c r="E240" s="175"/>
      <c r="F240" s="175"/>
      <c r="G240" s="175"/>
      <c r="H240" s="175"/>
      <c r="I240" s="175"/>
      <c r="J240" s="175"/>
      <c r="K240" s="175"/>
      <c r="L240" s="175"/>
      <c r="M240" s="176"/>
      <c r="N240" s="50">
        <f aca="true" t="shared" si="22" ref="N240:S240">SUM(N241:N251)</f>
        <v>6612.45546</v>
      </c>
      <c r="O240" s="50">
        <f t="shared" si="22"/>
        <v>3290.8695</v>
      </c>
      <c r="P240" s="50">
        <f t="shared" si="22"/>
        <v>4472.21083</v>
      </c>
      <c r="Q240" s="50">
        <f t="shared" si="22"/>
        <v>0</v>
      </c>
      <c r="R240" s="50">
        <f t="shared" si="22"/>
        <v>0</v>
      </c>
      <c r="S240" s="50">
        <f t="shared" si="22"/>
        <v>0</v>
      </c>
    </row>
    <row r="241" spans="1:19" s="3" customFormat="1" ht="94.5" customHeight="1">
      <c r="A241" s="39"/>
      <c r="B241" s="32" t="s">
        <v>902</v>
      </c>
      <c r="C241" s="12"/>
      <c r="D241" s="44" t="s">
        <v>305</v>
      </c>
      <c r="E241" s="7" t="s">
        <v>34</v>
      </c>
      <c r="F241" s="7" t="s">
        <v>1187</v>
      </c>
      <c r="G241" s="10" t="s">
        <v>1117</v>
      </c>
      <c r="H241" s="7" t="s">
        <v>787</v>
      </c>
      <c r="I241" s="7" t="s">
        <v>245</v>
      </c>
      <c r="J241" s="7" t="s">
        <v>798</v>
      </c>
      <c r="K241" s="30" t="s">
        <v>690</v>
      </c>
      <c r="L241" s="30" t="s">
        <v>245</v>
      </c>
      <c r="M241" s="30" t="s">
        <v>691</v>
      </c>
      <c r="N241" s="51">
        <v>0</v>
      </c>
      <c r="O241" s="51">
        <v>0</v>
      </c>
      <c r="P241" s="51">
        <f>7027.9/1000</f>
        <v>7.0279</v>
      </c>
      <c r="Q241" s="51">
        <v>0</v>
      </c>
      <c r="R241" s="52">
        <v>0</v>
      </c>
      <c r="S241" s="52">
        <v>0</v>
      </c>
    </row>
    <row r="242" spans="1:19" s="3" customFormat="1" ht="84" customHeight="1">
      <c r="A242" s="227"/>
      <c r="B242" s="77" t="s">
        <v>716</v>
      </c>
      <c r="C242" s="19"/>
      <c r="D242" s="45" t="s">
        <v>16</v>
      </c>
      <c r="E242" s="215" t="s">
        <v>34</v>
      </c>
      <c r="F242" s="215" t="s">
        <v>1187</v>
      </c>
      <c r="G242" s="215" t="s">
        <v>1116</v>
      </c>
      <c r="H242" s="21" t="s">
        <v>719</v>
      </c>
      <c r="I242" s="21" t="s">
        <v>245</v>
      </c>
      <c r="J242" s="21" t="s">
        <v>441</v>
      </c>
      <c r="K242" s="28" t="s">
        <v>717</v>
      </c>
      <c r="L242" s="28" t="s">
        <v>245</v>
      </c>
      <c r="M242" s="28" t="s">
        <v>718</v>
      </c>
      <c r="N242" s="53">
        <f>2768000/1000</f>
        <v>2768</v>
      </c>
      <c r="O242" s="53">
        <v>0</v>
      </c>
      <c r="P242" s="53">
        <v>2768</v>
      </c>
      <c r="Q242" s="53">
        <v>0</v>
      </c>
      <c r="R242" s="56">
        <v>0</v>
      </c>
      <c r="S242" s="56">
        <v>0</v>
      </c>
    </row>
    <row r="243" spans="1:19" s="3" customFormat="1" ht="70.5" customHeight="1">
      <c r="A243" s="183"/>
      <c r="B243" s="122" t="s">
        <v>1570</v>
      </c>
      <c r="C243" s="73"/>
      <c r="D243" s="46" t="s">
        <v>305</v>
      </c>
      <c r="E243" s="216"/>
      <c r="F243" s="216"/>
      <c r="G243" s="216"/>
      <c r="H243" s="216" t="s">
        <v>787</v>
      </c>
      <c r="I243" s="216" t="s">
        <v>245</v>
      </c>
      <c r="J243" s="216" t="s">
        <v>981</v>
      </c>
      <c r="K243" s="92" t="s">
        <v>965</v>
      </c>
      <c r="L243" s="92" t="s">
        <v>194</v>
      </c>
      <c r="M243" s="92" t="s">
        <v>918</v>
      </c>
      <c r="N243" s="54">
        <v>3384.65308</v>
      </c>
      <c r="O243" s="54">
        <v>3290.8695</v>
      </c>
      <c r="P243" s="54">
        <v>93.78258</v>
      </c>
      <c r="Q243" s="54">
        <v>0</v>
      </c>
      <c r="R243" s="67">
        <v>0</v>
      </c>
      <c r="S243" s="67">
        <v>0</v>
      </c>
    </row>
    <row r="244" spans="1:19" s="3" customFormat="1" ht="82.5" customHeight="1">
      <c r="A244" s="183"/>
      <c r="B244" s="122"/>
      <c r="C244" s="73"/>
      <c r="D244" s="87"/>
      <c r="E244" s="216"/>
      <c r="F244" s="216"/>
      <c r="G244" s="216"/>
      <c r="H244" s="216"/>
      <c r="I244" s="216"/>
      <c r="J244" s="216"/>
      <c r="K244" s="92" t="s">
        <v>1034</v>
      </c>
      <c r="L244" s="92" t="s">
        <v>245</v>
      </c>
      <c r="M244" s="92" t="s">
        <v>1035</v>
      </c>
      <c r="N244" s="54">
        <v>0</v>
      </c>
      <c r="O244" s="54">
        <v>0</v>
      </c>
      <c r="P244" s="54">
        <v>0</v>
      </c>
      <c r="Q244" s="54">
        <v>0</v>
      </c>
      <c r="R244" s="67">
        <v>0</v>
      </c>
      <c r="S244" s="67">
        <v>0</v>
      </c>
    </row>
    <row r="245" spans="1:19" s="3" customFormat="1" ht="69.75" customHeight="1">
      <c r="A245" s="183"/>
      <c r="B245" s="122"/>
      <c r="C245" s="73"/>
      <c r="D245" s="87" t="s">
        <v>110</v>
      </c>
      <c r="E245" s="216"/>
      <c r="F245" s="216"/>
      <c r="G245" s="216"/>
      <c r="H245" s="216"/>
      <c r="I245" s="216"/>
      <c r="J245" s="216"/>
      <c r="K245" s="92" t="s">
        <v>1036</v>
      </c>
      <c r="L245" s="92" t="s">
        <v>245</v>
      </c>
      <c r="M245" s="92" t="s">
        <v>1037</v>
      </c>
      <c r="N245" s="54">
        <v>0</v>
      </c>
      <c r="O245" s="54">
        <v>0</v>
      </c>
      <c r="P245" s="54">
        <v>341</v>
      </c>
      <c r="Q245" s="54">
        <v>0</v>
      </c>
      <c r="R245" s="67">
        <v>0</v>
      </c>
      <c r="S245" s="67">
        <v>0</v>
      </c>
    </row>
    <row r="246" spans="1:19" s="3" customFormat="1" ht="72" customHeight="1">
      <c r="A246" s="306"/>
      <c r="B246" s="173"/>
      <c r="C246"/>
      <c r="D246" s="87" t="s">
        <v>110</v>
      </c>
      <c r="E246" s="216"/>
      <c r="F246" s="216"/>
      <c r="G246" s="216"/>
      <c r="H246" s="216"/>
      <c r="I246" s="216"/>
      <c r="J246" s="216"/>
      <c r="K246" s="92" t="s">
        <v>777</v>
      </c>
      <c r="L246" s="92" t="s">
        <v>299</v>
      </c>
      <c r="M246" s="92" t="s">
        <v>778</v>
      </c>
      <c r="N246" s="54">
        <f>449802.38/1000</f>
        <v>449.80238</v>
      </c>
      <c r="O246" s="54">
        <v>0</v>
      </c>
      <c r="P246" s="54">
        <v>449.80338</v>
      </c>
      <c r="Q246" s="54">
        <v>0</v>
      </c>
      <c r="R246" s="54">
        <v>0</v>
      </c>
      <c r="S246" s="54">
        <v>0</v>
      </c>
    </row>
    <row r="247" spans="1:19" s="3" customFormat="1" ht="33.75" customHeight="1">
      <c r="A247" s="183"/>
      <c r="B247" s="122"/>
      <c r="C247" s="73"/>
      <c r="D247" s="46" t="s">
        <v>222</v>
      </c>
      <c r="E247" s="216"/>
      <c r="F247" s="216"/>
      <c r="G247" s="216"/>
      <c r="H247" s="216"/>
      <c r="I247" s="216"/>
      <c r="J247" s="216"/>
      <c r="K247" s="265" t="s">
        <v>1568</v>
      </c>
      <c r="L247" s="265" t="s">
        <v>194</v>
      </c>
      <c r="M247" s="265" t="s">
        <v>1569</v>
      </c>
      <c r="N247" s="54">
        <v>0</v>
      </c>
      <c r="O247" s="54">
        <v>0</v>
      </c>
      <c r="P247" s="54">
        <v>170</v>
      </c>
      <c r="Q247" s="54">
        <v>0</v>
      </c>
      <c r="R247" s="54">
        <v>0</v>
      </c>
      <c r="S247" s="54">
        <v>0</v>
      </c>
    </row>
    <row r="248" spans="1:19" s="3" customFormat="1" ht="33.75" customHeight="1">
      <c r="A248" s="120"/>
      <c r="B248" s="122"/>
      <c r="C248" s="20"/>
      <c r="D248" s="46" t="s">
        <v>16</v>
      </c>
      <c r="E248" s="216"/>
      <c r="F248" s="216"/>
      <c r="G248" s="216"/>
      <c r="H248" s="216"/>
      <c r="I248" s="216"/>
      <c r="J248" s="216"/>
      <c r="K248" s="265"/>
      <c r="L248" s="265"/>
      <c r="M248" s="265"/>
      <c r="N248" s="54">
        <v>0</v>
      </c>
      <c r="O248" s="54">
        <v>0</v>
      </c>
      <c r="P248" s="54">
        <v>542.8</v>
      </c>
      <c r="Q248" s="54">
        <v>0</v>
      </c>
      <c r="R248" s="54">
        <v>0</v>
      </c>
      <c r="S248" s="54">
        <v>0</v>
      </c>
    </row>
    <row r="249" spans="1:19" s="3" customFormat="1" ht="33.75" customHeight="1">
      <c r="A249" s="183"/>
      <c r="B249" s="181"/>
      <c r="C249" s="20"/>
      <c r="D249" s="46" t="s">
        <v>222</v>
      </c>
      <c r="E249" s="216"/>
      <c r="F249" s="216"/>
      <c r="G249" s="216"/>
      <c r="H249" s="216"/>
      <c r="I249" s="216"/>
      <c r="J249" s="216"/>
      <c r="K249" s="265"/>
      <c r="L249" s="265"/>
      <c r="M249" s="265"/>
      <c r="N249" s="54">
        <v>0</v>
      </c>
      <c r="O249" s="54">
        <v>0</v>
      </c>
      <c r="P249" s="54">
        <v>51.5855</v>
      </c>
      <c r="Q249" s="54">
        <v>0</v>
      </c>
      <c r="R249" s="54">
        <v>0</v>
      </c>
      <c r="S249" s="54">
        <v>0</v>
      </c>
    </row>
    <row r="250" spans="1:19" s="3" customFormat="1" ht="33.75" customHeight="1">
      <c r="A250" s="184"/>
      <c r="B250" s="182"/>
      <c r="C250" s="20"/>
      <c r="D250" s="48" t="s">
        <v>16</v>
      </c>
      <c r="E250" s="217"/>
      <c r="F250" s="217"/>
      <c r="G250" s="217"/>
      <c r="H250" s="216"/>
      <c r="I250" s="217"/>
      <c r="J250" s="217"/>
      <c r="K250" s="289"/>
      <c r="L250" s="289"/>
      <c r="M250" s="289"/>
      <c r="N250" s="59">
        <v>0</v>
      </c>
      <c r="O250" s="59">
        <v>0</v>
      </c>
      <c r="P250" s="59">
        <v>48.21147</v>
      </c>
      <c r="Q250" s="59">
        <v>0</v>
      </c>
      <c r="R250" s="59">
        <v>0</v>
      </c>
      <c r="S250" s="59">
        <v>0</v>
      </c>
    </row>
    <row r="251" spans="1:19" s="3" customFormat="1" ht="95.25" customHeight="1">
      <c r="A251" s="39"/>
      <c r="B251" s="11" t="s">
        <v>689</v>
      </c>
      <c r="C251" s="12"/>
      <c r="D251" s="44" t="s">
        <v>305</v>
      </c>
      <c r="E251" s="7" t="s">
        <v>34</v>
      </c>
      <c r="F251" s="7" t="s">
        <v>1187</v>
      </c>
      <c r="G251" s="10" t="s">
        <v>1117</v>
      </c>
      <c r="H251" s="217"/>
      <c r="I251" s="7" t="s">
        <v>245</v>
      </c>
      <c r="J251" s="7" t="s">
        <v>798</v>
      </c>
      <c r="K251" s="30" t="s">
        <v>690</v>
      </c>
      <c r="L251" s="30" t="s">
        <v>245</v>
      </c>
      <c r="M251" s="30" t="s">
        <v>691</v>
      </c>
      <c r="N251" s="51">
        <f>10000/1000</f>
        <v>10</v>
      </c>
      <c r="O251" s="51">
        <v>0</v>
      </c>
      <c r="P251" s="51">
        <v>0</v>
      </c>
      <c r="Q251" s="51">
        <v>0</v>
      </c>
      <c r="R251" s="52">
        <v>0</v>
      </c>
      <c r="S251" s="52">
        <v>0</v>
      </c>
    </row>
    <row r="252" spans="1:19" s="2" customFormat="1" ht="12" customHeight="1">
      <c r="A252" s="38" t="s">
        <v>1601</v>
      </c>
      <c r="B252" s="174" t="s">
        <v>1602</v>
      </c>
      <c r="C252" s="175"/>
      <c r="D252" s="175"/>
      <c r="E252" s="175"/>
      <c r="F252" s="175"/>
      <c r="G252" s="175"/>
      <c r="H252" s="175"/>
      <c r="I252" s="175"/>
      <c r="J252" s="175"/>
      <c r="K252" s="175"/>
      <c r="L252" s="175"/>
      <c r="M252" s="176"/>
      <c r="N252" s="50">
        <f aca="true" t="shared" si="23" ref="N252:S252">SUM(N257:N267)</f>
        <v>197190.62508</v>
      </c>
      <c r="O252" s="50">
        <f t="shared" si="23"/>
        <v>177559.87971100002</v>
      </c>
      <c r="P252" s="50">
        <f t="shared" si="23"/>
        <v>306096.73574999993</v>
      </c>
      <c r="Q252" s="50">
        <f t="shared" si="23"/>
        <v>108089.4</v>
      </c>
      <c r="R252" s="50">
        <f t="shared" si="23"/>
        <v>97479.6</v>
      </c>
      <c r="S252" s="50">
        <f t="shared" si="23"/>
        <v>100286.8</v>
      </c>
    </row>
    <row r="253" spans="1:19" s="2" customFormat="1" ht="22.5" customHeight="1">
      <c r="A253" s="38" t="s">
        <v>1603</v>
      </c>
      <c r="B253" s="174" t="s">
        <v>1604</v>
      </c>
      <c r="C253" s="175"/>
      <c r="D253" s="175"/>
      <c r="E253" s="175"/>
      <c r="F253" s="175"/>
      <c r="G253" s="175"/>
      <c r="H253" s="175"/>
      <c r="I253" s="175"/>
      <c r="J253" s="175"/>
      <c r="K253" s="175"/>
      <c r="L253" s="175"/>
      <c r="M253" s="176"/>
      <c r="N253" s="50"/>
      <c r="O253" s="50"/>
      <c r="P253" s="50"/>
      <c r="Q253" s="50"/>
      <c r="R253" s="50"/>
      <c r="S253" s="50"/>
    </row>
    <row r="254" spans="1:19" s="2" customFormat="1" ht="12" customHeight="1">
      <c r="A254" s="38" t="s">
        <v>1605</v>
      </c>
      <c r="B254" s="174" t="s">
        <v>1606</v>
      </c>
      <c r="C254" s="175"/>
      <c r="D254" s="175"/>
      <c r="E254" s="175"/>
      <c r="F254" s="175"/>
      <c r="G254" s="175"/>
      <c r="H254" s="175"/>
      <c r="I254" s="175"/>
      <c r="J254" s="175"/>
      <c r="K254" s="175"/>
      <c r="L254" s="175"/>
      <c r="M254" s="176"/>
      <c r="N254" s="50"/>
      <c r="O254" s="50"/>
      <c r="P254" s="50"/>
      <c r="Q254" s="50"/>
      <c r="R254" s="50"/>
      <c r="S254" s="50"/>
    </row>
    <row r="255" spans="1:19" s="2" customFormat="1" ht="24" customHeight="1">
      <c r="A255" s="38" t="s">
        <v>1607</v>
      </c>
      <c r="B255" s="174" t="s">
        <v>1608</v>
      </c>
      <c r="C255" s="175"/>
      <c r="D255" s="175"/>
      <c r="E255" s="175"/>
      <c r="F255" s="175"/>
      <c r="G255" s="175"/>
      <c r="H255" s="175"/>
      <c r="I255" s="175"/>
      <c r="J255" s="175"/>
      <c r="K255" s="175"/>
      <c r="L255" s="175"/>
      <c r="M255" s="176"/>
      <c r="N255" s="50"/>
      <c r="O255" s="50"/>
      <c r="P255" s="50"/>
      <c r="Q255" s="50"/>
      <c r="R255" s="50"/>
      <c r="S255" s="50"/>
    </row>
    <row r="256" spans="1:19" s="2" customFormat="1" ht="11.25" customHeight="1">
      <c r="A256" s="38" t="s">
        <v>1609</v>
      </c>
      <c r="B256" s="174" t="s">
        <v>1610</v>
      </c>
      <c r="C256" s="175"/>
      <c r="D256" s="175"/>
      <c r="E256" s="175"/>
      <c r="F256" s="175"/>
      <c r="G256" s="175"/>
      <c r="H256" s="175"/>
      <c r="I256" s="175"/>
      <c r="J256" s="175"/>
      <c r="K256" s="175"/>
      <c r="L256" s="175"/>
      <c r="M256" s="176"/>
      <c r="N256" s="50"/>
      <c r="O256" s="50"/>
      <c r="P256" s="50"/>
      <c r="Q256" s="50"/>
      <c r="R256" s="50"/>
      <c r="S256" s="50"/>
    </row>
    <row r="257" spans="1:19" s="2" customFormat="1" ht="24.75" customHeight="1">
      <c r="A257" s="38" t="s">
        <v>139</v>
      </c>
      <c r="B257" s="174" t="s">
        <v>1611</v>
      </c>
      <c r="C257" s="175"/>
      <c r="D257" s="175"/>
      <c r="E257" s="175"/>
      <c r="F257" s="175"/>
      <c r="G257" s="175"/>
      <c r="H257" s="175"/>
      <c r="I257" s="175"/>
      <c r="J257" s="175"/>
      <c r="K257" s="175"/>
      <c r="L257" s="175"/>
      <c r="M257" s="176"/>
      <c r="N257" s="50">
        <f>SUM(N258:N442)</f>
        <v>187766.43386999998</v>
      </c>
      <c r="O257" s="50">
        <f>SUM(O258:O442)</f>
        <v>169734.531141</v>
      </c>
      <c r="P257" s="50">
        <f>SUM(P258:P446)</f>
        <v>296042.55574999994</v>
      </c>
      <c r="Q257" s="50">
        <f>SUM(Q258:Q446)</f>
        <v>99820.59999999998</v>
      </c>
      <c r="R257" s="50">
        <f>SUM(R258:R446)</f>
        <v>89061.09999999999</v>
      </c>
      <c r="S257" s="50">
        <f>SUM(S258:S446)</f>
        <v>93084.5</v>
      </c>
    </row>
    <row r="258" spans="1:19" s="128" customFormat="1" ht="84.75" customHeight="1">
      <c r="A258" s="131">
        <v>587</v>
      </c>
      <c r="B258" s="134" t="s">
        <v>313</v>
      </c>
      <c r="C258" s="35"/>
      <c r="D258" s="136" t="s">
        <v>1202</v>
      </c>
      <c r="E258" s="132"/>
      <c r="F258" s="132"/>
      <c r="G258" s="132"/>
      <c r="H258" s="132" t="s">
        <v>719</v>
      </c>
      <c r="I258" s="132" t="s">
        <v>1204</v>
      </c>
      <c r="J258" s="132" t="s">
        <v>441</v>
      </c>
      <c r="K258" s="130" t="s">
        <v>1541</v>
      </c>
      <c r="L258" s="130" t="s">
        <v>1203</v>
      </c>
      <c r="M258" s="130" t="s">
        <v>1542</v>
      </c>
      <c r="N258" s="51">
        <v>71.5</v>
      </c>
      <c r="O258" s="51">
        <f>29468/1000</f>
        <v>29.468</v>
      </c>
      <c r="P258" s="51">
        <v>39</v>
      </c>
      <c r="Q258" s="51">
        <v>39.1</v>
      </c>
      <c r="R258" s="52">
        <v>39.1</v>
      </c>
      <c r="S258" s="52">
        <v>39.1</v>
      </c>
    </row>
    <row r="259" spans="1:19" s="128" customFormat="1" ht="109.5" customHeight="1">
      <c r="A259" s="131">
        <v>590</v>
      </c>
      <c r="B259" s="134" t="s">
        <v>64</v>
      </c>
      <c r="C259" s="35"/>
      <c r="D259" s="136" t="s">
        <v>171</v>
      </c>
      <c r="E259" s="132"/>
      <c r="F259" s="132"/>
      <c r="G259" s="132"/>
      <c r="H259" s="132" t="s">
        <v>1205</v>
      </c>
      <c r="I259" s="132"/>
      <c r="J259" s="132" t="s">
        <v>1206</v>
      </c>
      <c r="K259" s="130" t="s">
        <v>1207</v>
      </c>
      <c r="L259" s="130" t="s">
        <v>245</v>
      </c>
      <c r="M259" s="130" t="s">
        <v>1208</v>
      </c>
      <c r="N259" s="51">
        <v>112</v>
      </c>
      <c r="O259" s="51">
        <v>100.601</v>
      </c>
      <c r="P259" s="51">
        <v>110.8</v>
      </c>
      <c r="Q259" s="51">
        <v>108.8</v>
      </c>
      <c r="R259" s="52">
        <v>108.8</v>
      </c>
      <c r="S259" s="52">
        <v>0</v>
      </c>
    </row>
    <row r="260" spans="1:19" s="128" customFormat="1" ht="73.5" customHeight="1">
      <c r="A260" s="127">
        <v>302</v>
      </c>
      <c r="B260" s="35" t="s">
        <v>1209</v>
      </c>
      <c r="C260" s="35"/>
      <c r="D260" s="136" t="s">
        <v>15</v>
      </c>
      <c r="E260" s="130"/>
      <c r="F260" s="130"/>
      <c r="G260" s="130"/>
      <c r="H260" s="130"/>
      <c r="I260" s="130"/>
      <c r="J260" s="130"/>
      <c r="K260" s="130" t="s">
        <v>1210</v>
      </c>
      <c r="L260" s="130" t="s">
        <v>194</v>
      </c>
      <c r="M260" s="130" t="s">
        <v>1211</v>
      </c>
      <c r="N260" s="51">
        <v>360.9</v>
      </c>
      <c r="O260" s="51">
        <v>360.9</v>
      </c>
      <c r="P260" s="51">
        <v>0</v>
      </c>
      <c r="Q260" s="51">
        <v>0</v>
      </c>
      <c r="R260" s="52">
        <v>0</v>
      </c>
      <c r="S260" s="52">
        <v>0</v>
      </c>
    </row>
    <row r="261" spans="1:19" s="128" customFormat="1" ht="106.5" customHeight="1">
      <c r="A261" s="127">
        <v>584</v>
      </c>
      <c r="B261" s="35" t="s">
        <v>1212</v>
      </c>
      <c r="C261" s="35"/>
      <c r="D261" s="136" t="s">
        <v>1213</v>
      </c>
      <c r="E261" s="130" t="s">
        <v>1215</v>
      </c>
      <c r="F261" s="130" t="s">
        <v>1216</v>
      </c>
      <c r="G261" s="130" t="s">
        <v>1217</v>
      </c>
      <c r="H261" s="130" t="s">
        <v>1218</v>
      </c>
      <c r="I261" s="130" t="s">
        <v>461</v>
      </c>
      <c r="J261" s="130" t="s">
        <v>124</v>
      </c>
      <c r="K261" s="130" t="s">
        <v>933</v>
      </c>
      <c r="L261" s="130" t="s">
        <v>1214</v>
      </c>
      <c r="M261" s="130" t="s">
        <v>817</v>
      </c>
      <c r="N261" s="51">
        <v>1029.6</v>
      </c>
      <c r="O261" s="51">
        <v>1029.6</v>
      </c>
      <c r="P261" s="51">
        <v>1133.4</v>
      </c>
      <c r="Q261" s="51">
        <v>1155.8</v>
      </c>
      <c r="R261" s="52">
        <v>1186.8</v>
      </c>
      <c r="S261" s="52">
        <v>0</v>
      </c>
    </row>
    <row r="262" spans="1:19" s="3" customFormat="1" ht="96.75" customHeight="1">
      <c r="A262" s="227">
        <v>552</v>
      </c>
      <c r="B262" s="195" t="s">
        <v>257</v>
      </c>
      <c r="C262" s="15"/>
      <c r="D262" s="212" t="s">
        <v>206</v>
      </c>
      <c r="E262" s="215" t="s">
        <v>203</v>
      </c>
      <c r="F262" s="215" t="s">
        <v>204</v>
      </c>
      <c r="G262" s="215" t="s">
        <v>1197</v>
      </c>
      <c r="H262" s="215" t="s">
        <v>496</v>
      </c>
      <c r="I262" s="215" t="s">
        <v>202</v>
      </c>
      <c r="J262" s="215" t="s">
        <v>201</v>
      </c>
      <c r="K262" s="21" t="s">
        <v>874</v>
      </c>
      <c r="L262" s="21" t="s">
        <v>245</v>
      </c>
      <c r="M262" s="21" t="s">
        <v>219</v>
      </c>
      <c r="N262" s="185">
        <v>510</v>
      </c>
      <c r="O262" s="185">
        <v>500</v>
      </c>
      <c r="P262" s="185">
        <v>4581.33</v>
      </c>
      <c r="Q262" s="185">
        <v>4954.5</v>
      </c>
      <c r="R262" s="188">
        <v>4954.5</v>
      </c>
      <c r="S262" s="188">
        <v>4954.5</v>
      </c>
    </row>
    <row r="263" spans="1:19" s="3" customFormat="1" ht="1.5" customHeight="1">
      <c r="A263" s="184"/>
      <c r="B263" s="198"/>
      <c r="C263" s="15"/>
      <c r="D263" s="213"/>
      <c r="E263" s="216"/>
      <c r="F263" s="216"/>
      <c r="G263" s="216"/>
      <c r="H263" s="216"/>
      <c r="I263" s="216"/>
      <c r="J263" s="216"/>
      <c r="K263" s="216" t="s">
        <v>1038</v>
      </c>
      <c r="L263" s="216" t="s">
        <v>245</v>
      </c>
      <c r="M263" s="216" t="s">
        <v>862</v>
      </c>
      <c r="N263" s="187"/>
      <c r="O263" s="187"/>
      <c r="P263" s="187"/>
      <c r="Q263" s="187"/>
      <c r="R263" s="189"/>
      <c r="S263" s="189"/>
    </row>
    <row r="264" spans="1:19" s="137" customFormat="1" ht="85.5" customHeight="1">
      <c r="A264" s="145">
        <v>649</v>
      </c>
      <c r="B264" s="32" t="s">
        <v>1097</v>
      </c>
      <c r="C264" s="146"/>
      <c r="D264" s="214"/>
      <c r="E264" s="217"/>
      <c r="F264" s="217"/>
      <c r="G264" s="217"/>
      <c r="H264" s="217"/>
      <c r="I264" s="217"/>
      <c r="J264" s="217"/>
      <c r="K264" s="217"/>
      <c r="L264" s="217"/>
      <c r="M264" s="217"/>
      <c r="N264" s="64">
        <v>0</v>
      </c>
      <c r="O264" s="64">
        <v>0</v>
      </c>
      <c r="P264" s="64">
        <v>2117.35</v>
      </c>
      <c r="Q264" s="64">
        <v>0</v>
      </c>
      <c r="R264" s="64">
        <v>0</v>
      </c>
      <c r="S264" s="64">
        <v>0</v>
      </c>
    </row>
    <row r="265" spans="1:19" s="128" customFormat="1" ht="84" customHeight="1">
      <c r="A265" s="127">
        <v>304</v>
      </c>
      <c r="B265" s="35" t="s">
        <v>166</v>
      </c>
      <c r="C265" s="35"/>
      <c r="D265" s="129" t="s">
        <v>143</v>
      </c>
      <c r="E265" s="130"/>
      <c r="F265" s="130"/>
      <c r="G265" s="130"/>
      <c r="H265" s="130"/>
      <c r="I265" s="130"/>
      <c r="J265" s="130"/>
      <c r="K265" s="130" t="s">
        <v>1219</v>
      </c>
      <c r="L265" s="130" t="s">
        <v>194</v>
      </c>
      <c r="M265" s="130" t="s">
        <v>1211</v>
      </c>
      <c r="N265" s="51">
        <f>4525091.21/1000</f>
        <v>4525.09121</v>
      </c>
      <c r="O265" s="51">
        <f>3825091.21/1000</f>
        <v>3825.09121</v>
      </c>
      <c r="P265" s="51">
        <v>0</v>
      </c>
      <c r="Q265" s="51">
        <v>0</v>
      </c>
      <c r="R265" s="52">
        <v>0</v>
      </c>
      <c r="S265" s="52">
        <v>0</v>
      </c>
    </row>
    <row r="266" spans="1:19" s="128" customFormat="1" ht="87" customHeight="1">
      <c r="A266" s="127">
        <v>566</v>
      </c>
      <c r="B266" s="35" t="s">
        <v>310</v>
      </c>
      <c r="C266" s="35"/>
      <c r="D266" s="135" t="s">
        <v>171</v>
      </c>
      <c r="E266" s="130"/>
      <c r="F266" s="130"/>
      <c r="G266" s="130"/>
      <c r="H266" s="130" t="s">
        <v>719</v>
      </c>
      <c r="I266" s="130" t="s">
        <v>1221</v>
      </c>
      <c r="J266" s="130" t="s">
        <v>441</v>
      </c>
      <c r="K266" s="130" t="s">
        <v>1220</v>
      </c>
      <c r="L266" s="130" t="s">
        <v>194</v>
      </c>
      <c r="M266" s="130" t="s">
        <v>817</v>
      </c>
      <c r="N266" s="51">
        <f>2376500/1000</f>
        <v>2376.5</v>
      </c>
      <c r="O266" s="51">
        <f>1541088.36/1000</f>
        <v>1541.0883600000002</v>
      </c>
      <c r="P266" s="51">
        <v>2072.3</v>
      </c>
      <c r="Q266" s="51">
        <v>2010.6</v>
      </c>
      <c r="R266" s="52">
        <v>2129.3</v>
      </c>
      <c r="S266" s="52">
        <v>2208.7</v>
      </c>
    </row>
    <row r="267" spans="1:19" s="128" customFormat="1" ht="98.25" customHeight="1">
      <c r="A267" s="127">
        <v>586</v>
      </c>
      <c r="B267" s="35" t="s">
        <v>309</v>
      </c>
      <c r="C267" s="35"/>
      <c r="D267" s="135" t="s">
        <v>143</v>
      </c>
      <c r="E267" s="130"/>
      <c r="F267" s="130"/>
      <c r="G267" s="130"/>
      <c r="H267" s="130" t="s">
        <v>1224</v>
      </c>
      <c r="I267" s="130" t="s">
        <v>461</v>
      </c>
      <c r="J267" s="130" t="s">
        <v>1225</v>
      </c>
      <c r="K267" s="130" t="s">
        <v>1222</v>
      </c>
      <c r="L267" s="130" t="s">
        <v>194</v>
      </c>
      <c r="M267" s="130" t="s">
        <v>1223</v>
      </c>
      <c r="N267" s="51">
        <v>438.6</v>
      </c>
      <c r="O267" s="51">
        <v>438.6</v>
      </c>
      <c r="P267" s="51">
        <v>0</v>
      </c>
      <c r="Q267" s="51">
        <v>0</v>
      </c>
      <c r="R267" s="52">
        <v>0</v>
      </c>
      <c r="S267" s="52">
        <v>0</v>
      </c>
    </row>
    <row r="268" spans="1:19" s="137" customFormat="1" ht="72.75" customHeight="1">
      <c r="A268" s="127">
        <v>567</v>
      </c>
      <c r="B268" s="35" t="s">
        <v>311</v>
      </c>
      <c r="C268" s="130"/>
      <c r="D268" s="135" t="s">
        <v>927</v>
      </c>
      <c r="E268" s="130"/>
      <c r="F268" s="130"/>
      <c r="G268" s="130"/>
      <c r="H268" s="130" t="s">
        <v>1227</v>
      </c>
      <c r="I268" s="130" t="s">
        <v>557</v>
      </c>
      <c r="J268" s="130" t="s">
        <v>84</v>
      </c>
      <c r="K268" s="130" t="s">
        <v>1226</v>
      </c>
      <c r="L268" s="130" t="s">
        <v>508</v>
      </c>
      <c r="M268" s="130" t="s">
        <v>817</v>
      </c>
      <c r="N268" s="51">
        <f>4136913/1000</f>
        <v>4136.913</v>
      </c>
      <c r="O268" s="51">
        <f>4108117.93/1000</f>
        <v>4108.11793</v>
      </c>
      <c r="P268" s="51">
        <v>4407.7</v>
      </c>
      <c r="Q268" s="51">
        <v>4628</v>
      </c>
      <c r="R268" s="52">
        <v>4690.5</v>
      </c>
      <c r="S268" s="52">
        <v>4752.4</v>
      </c>
    </row>
    <row r="269" spans="1:19" s="137" customFormat="1" ht="106.5" customHeight="1">
      <c r="A269" s="120">
        <v>585</v>
      </c>
      <c r="B269" s="35" t="s">
        <v>800</v>
      </c>
      <c r="C269" s="73"/>
      <c r="D269" s="46" t="s">
        <v>247</v>
      </c>
      <c r="E269" s="22"/>
      <c r="F269" s="22"/>
      <c r="G269" s="130"/>
      <c r="H269" s="130" t="s">
        <v>719</v>
      </c>
      <c r="I269" s="130" t="s">
        <v>1229</v>
      </c>
      <c r="J269" s="130" t="s">
        <v>441</v>
      </c>
      <c r="K269" s="130" t="s">
        <v>1013</v>
      </c>
      <c r="L269" s="130" t="s">
        <v>508</v>
      </c>
      <c r="M269" s="130" t="s">
        <v>1228</v>
      </c>
      <c r="N269" s="51">
        <v>26705</v>
      </c>
      <c r="O269" s="51">
        <v>26704.93624</v>
      </c>
      <c r="P269" s="51">
        <v>15234.0852</v>
      </c>
      <c r="Q269" s="51">
        <v>3066</v>
      </c>
      <c r="R269" s="52">
        <v>6520</v>
      </c>
      <c r="S269" s="52">
        <v>6520</v>
      </c>
    </row>
    <row r="270" spans="1:19" s="137" customFormat="1" ht="86.25" customHeight="1">
      <c r="A270" s="127">
        <v>300</v>
      </c>
      <c r="B270" s="35" t="s">
        <v>800</v>
      </c>
      <c r="C270" s="130"/>
      <c r="D270" s="135" t="s">
        <v>247</v>
      </c>
      <c r="E270" s="130"/>
      <c r="F270" s="130"/>
      <c r="G270" s="130"/>
      <c r="H270" s="130"/>
      <c r="I270" s="130"/>
      <c r="J270" s="130"/>
      <c r="K270" s="130" t="s">
        <v>1230</v>
      </c>
      <c r="L270" s="130" t="s">
        <v>194</v>
      </c>
      <c r="M270" s="130" t="s">
        <v>1231</v>
      </c>
      <c r="N270" s="51">
        <v>0</v>
      </c>
      <c r="O270" s="51">
        <v>0</v>
      </c>
      <c r="P270" s="51">
        <v>9501.40132</v>
      </c>
      <c r="Q270" s="64">
        <v>4744.8</v>
      </c>
      <c r="R270" s="64">
        <v>0</v>
      </c>
      <c r="S270" s="64">
        <v>0</v>
      </c>
    </row>
    <row r="271" spans="1:19" s="137" customFormat="1" ht="88.5" customHeight="1">
      <c r="A271" s="127">
        <v>579</v>
      </c>
      <c r="B271" s="35" t="s">
        <v>312</v>
      </c>
      <c r="C271" s="130"/>
      <c r="D271" s="135" t="s">
        <v>143</v>
      </c>
      <c r="E271" s="130"/>
      <c r="F271" s="130"/>
      <c r="G271" s="130"/>
      <c r="H271" s="130" t="s">
        <v>719</v>
      </c>
      <c r="I271" s="130" t="s">
        <v>1232</v>
      </c>
      <c r="J271" s="130" t="s">
        <v>441</v>
      </c>
      <c r="K271" s="130" t="s">
        <v>1233</v>
      </c>
      <c r="L271" s="130" t="s">
        <v>113</v>
      </c>
      <c r="M271" s="130" t="s">
        <v>1234</v>
      </c>
      <c r="N271" s="51">
        <v>15892.1</v>
      </c>
      <c r="O271" s="51">
        <v>15483.474781</v>
      </c>
      <c r="P271" s="51">
        <v>16858.7</v>
      </c>
      <c r="Q271" s="51">
        <v>20932</v>
      </c>
      <c r="R271" s="52">
        <v>23446</v>
      </c>
      <c r="S271" s="52">
        <v>26484</v>
      </c>
    </row>
    <row r="272" spans="1:19" s="137" customFormat="1" ht="60.75" customHeight="1">
      <c r="A272" s="127">
        <v>301</v>
      </c>
      <c r="B272" s="35" t="s">
        <v>624</v>
      </c>
      <c r="C272" s="130"/>
      <c r="D272" s="135" t="s">
        <v>296</v>
      </c>
      <c r="E272" s="130"/>
      <c r="F272" s="130"/>
      <c r="G272" s="130"/>
      <c r="H272" s="130"/>
      <c r="I272" s="130"/>
      <c r="J272" s="130"/>
      <c r="K272" s="130" t="s">
        <v>1235</v>
      </c>
      <c r="L272" s="130" t="s">
        <v>1236</v>
      </c>
      <c r="M272" s="130" t="s">
        <v>1237</v>
      </c>
      <c r="N272" s="51">
        <v>1000</v>
      </c>
      <c r="O272" s="51">
        <v>1000</v>
      </c>
      <c r="P272" s="51">
        <v>0</v>
      </c>
      <c r="Q272" s="51">
        <v>0</v>
      </c>
      <c r="R272" s="52">
        <v>0</v>
      </c>
      <c r="S272" s="52">
        <v>0</v>
      </c>
    </row>
    <row r="273" spans="1:19" s="137" customFormat="1" ht="73.5" customHeight="1">
      <c r="A273" s="127">
        <v>313</v>
      </c>
      <c r="B273" s="35" t="s">
        <v>410</v>
      </c>
      <c r="C273" s="130"/>
      <c r="D273" s="135" t="s">
        <v>171</v>
      </c>
      <c r="E273" s="130"/>
      <c r="F273" s="130"/>
      <c r="G273" s="130"/>
      <c r="H273" s="130"/>
      <c r="I273" s="130"/>
      <c r="J273" s="130"/>
      <c r="K273" s="130" t="s">
        <v>1238</v>
      </c>
      <c r="L273" s="130" t="s">
        <v>194</v>
      </c>
      <c r="M273" s="130" t="s">
        <v>1239</v>
      </c>
      <c r="N273" s="51">
        <v>17.115</v>
      </c>
      <c r="O273" s="51">
        <v>17.115</v>
      </c>
      <c r="P273" s="51">
        <v>0</v>
      </c>
      <c r="Q273" s="51">
        <v>0</v>
      </c>
      <c r="R273" s="52">
        <v>0</v>
      </c>
      <c r="S273" s="52">
        <v>0</v>
      </c>
    </row>
    <row r="274" spans="1:19" s="137" customFormat="1" ht="50.25" customHeight="1">
      <c r="A274" s="127">
        <v>311</v>
      </c>
      <c r="B274" s="35" t="s">
        <v>411</v>
      </c>
      <c r="C274" s="130"/>
      <c r="D274" s="135" t="s">
        <v>15</v>
      </c>
      <c r="E274" s="130"/>
      <c r="F274" s="130"/>
      <c r="G274" s="130"/>
      <c r="H274" s="130"/>
      <c r="I274" s="130"/>
      <c r="J274" s="130"/>
      <c r="K274" s="130" t="s">
        <v>1240</v>
      </c>
      <c r="L274" s="130" t="s">
        <v>245</v>
      </c>
      <c r="M274" s="130" t="s">
        <v>1211</v>
      </c>
      <c r="N274" s="51">
        <v>24.157</v>
      </c>
      <c r="O274" s="51">
        <v>24.157</v>
      </c>
      <c r="P274" s="51">
        <v>0</v>
      </c>
      <c r="Q274" s="51">
        <v>0</v>
      </c>
      <c r="R274" s="52">
        <v>0</v>
      </c>
      <c r="S274" s="52">
        <v>0</v>
      </c>
    </row>
    <row r="275" spans="1:19" s="137" customFormat="1" ht="49.5" customHeight="1">
      <c r="A275" s="127">
        <v>312</v>
      </c>
      <c r="B275" s="35" t="s">
        <v>412</v>
      </c>
      <c r="C275" s="130"/>
      <c r="D275" s="135" t="s">
        <v>171</v>
      </c>
      <c r="E275" s="130"/>
      <c r="F275" s="130"/>
      <c r="G275" s="130"/>
      <c r="H275" s="130"/>
      <c r="I275" s="130"/>
      <c r="J275" s="130"/>
      <c r="K275" s="130" t="s">
        <v>1241</v>
      </c>
      <c r="L275" s="130" t="s">
        <v>194</v>
      </c>
      <c r="M275" s="130" t="s">
        <v>1211</v>
      </c>
      <c r="N275" s="51">
        <v>92.843</v>
      </c>
      <c r="O275" s="51">
        <v>92.843</v>
      </c>
      <c r="P275" s="51">
        <v>0</v>
      </c>
      <c r="Q275" s="51">
        <v>0</v>
      </c>
      <c r="R275" s="52">
        <v>0</v>
      </c>
      <c r="S275" s="52">
        <v>0</v>
      </c>
    </row>
    <row r="276" spans="1:19" s="137" customFormat="1" ht="72.75" customHeight="1">
      <c r="A276" s="127">
        <v>309</v>
      </c>
      <c r="B276" s="35" t="s">
        <v>413</v>
      </c>
      <c r="C276" s="130"/>
      <c r="D276" s="135" t="s">
        <v>199</v>
      </c>
      <c r="E276" s="130"/>
      <c r="F276" s="130"/>
      <c r="G276" s="130"/>
      <c r="H276" s="130"/>
      <c r="I276" s="130"/>
      <c r="J276" s="130"/>
      <c r="K276" s="130" t="s">
        <v>1242</v>
      </c>
      <c r="L276" s="130" t="s">
        <v>194</v>
      </c>
      <c r="M276" s="130" t="s">
        <v>1211</v>
      </c>
      <c r="N276" s="51">
        <v>93</v>
      </c>
      <c r="O276" s="51">
        <v>93</v>
      </c>
      <c r="P276" s="51">
        <v>0</v>
      </c>
      <c r="Q276" s="51">
        <v>0</v>
      </c>
      <c r="R276" s="52">
        <v>0</v>
      </c>
      <c r="S276" s="52">
        <v>0</v>
      </c>
    </row>
    <row r="277" spans="1:19" s="137" customFormat="1" ht="63.75" customHeight="1">
      <c r="A277" s="127">
        <v>307</v>
      </c>
      <c r="B277" s="35" t="s">
        <v>414</v>
      </c>
      <c r="C277" s="130"/>
      <c r="D277" s="135" t="s">
        <v>15</v>
      </c>
      <c r="E277" s="130"/>
      <c r="F277" s="130"/>
      <c r="G277" s="130"/>
      <c r="H277" s="130"/>
      <c r="I277" s="130"/>
      <c r="J277" s="130"/>
      <c r="K277" s="130" t="s">
        <v>1243</v>
      </c>
      <c r="L277" s="130" t="s">
        <v>194</v>
      </c>
      <c r="M277" s="130" t="s">
        <v>1244</v>
      </c>
      <c r="N277" s="51">
        <v>100</v>
      </c>
      <c r="O277" s="51">
        <v>100</v>
      </c>
      <c r="P277" s="51">
        <v>0</v>
      </c>
      <c r="Q277" s="51">
        <v>0</v>
      </c>
      <c r="R277" s="52">
        <v>0</v>
      </c>
      <c r="S277" s="52">
        <v>0</v>
      </c>
    </row>
    <row r="278" spans="1:19" s="137" customFormat="1" ht="132.75" customHeight="1">
      <c r="A278" s="127">
        <v>306</v>
      </c>
      <c r="B278" s="35" t="s">
        <v>415</v>
      </c>
      <c r="C278" s="130"/>
      <c r="D278" s="135" t="s">
        <v>15</v>
      </c>
      <c r="E278" s="130"/>
      <c r="F278" s="130"/>
      <c r="G278" s="130"/>
      <c r="H278" s="130"/>
      <c r="I278" s="130"/>
      <c r="J278" s="130"/>
      <c r="K278" s="130" t="s">
        <v>1245</v>
      </c>
      <c r="L278" s="130" t="s">
        <v>194</v>
      </c>
      <c r="M278" s="130" t="s">
        <v>1246</v>
      </c>
      <c r="N278" s="51">
        <v>172</v>
      </c>
      <c r="O278" s="51">
        <v>172</v>
      </c>
      <c r="P278" s="51">
        <v>0</v>
      </c>
      <c r="Q278" s="51">
        <v>0</v>
      </c>
      <c r="R278" s="52">
        <v>0</v>
      </c>
      <c r="S278" s="52">
        <v>0</v>
      </c>
    </row>
    <row r="279" spans="1:19" s="137" customFormat="1" ht="48.75" customHeight="1">
      <c r="A279" s="127">
        <v>310</v>
      </c>
      <c r="B279" s="35" t="s">
        <v>416</v>
      </c>
      <c r="C279" s="130"/>
      <c r="D279" s="135" t="s">
        <v>143</v>
      </c>
      <c r="E279" s="130"/>
      <c r="F279" s="130"/>
      <c r="G279" s="130"/>
      <c r="H279" s="130"/>
      <c r="I279" s="130"/>
      <c r="J279" s="130"/>
      <c r="K279" s="130" t="s">
        <v>1247</v>
      </c>
      <c r="L279" s="130" t="s">
        <v>194</v>
      </c>
      <c r="M279" s="130" t="s">
        <v>1211</v>
      </c>
      <c r="N279" s="51">
        <v>180</v>
      </c>
      <c r="O279" s="51">
        <v>180</v>
      </c>
      <c r="P279" s="51">
        <v>0</v>
      </c>
      <c r="Q279" s="51">
        <v>0</v>
      </c>
      <c r="R279" s="52">
        <v>0</v>
      </c>
      <c r="S279" s="52">
        <v>0</v>
      </c>
    </row>
    <row r="280" spans="1:19" s="137" customFormat="1" ht="118.5" customHeight="1">
      <c r="A280" s="199">
        <v>301</v>
      </c>
      <c r="B280" s="208" t="s">
        <v>417</v>
      </c>
      <c r="C280" s="130"/>
      <c r="D280" s="203" t="s">
        <v>842</v>
      </c>
      <c r="E280" s="191"/>
      <c r="F280" s="191"/>
      <c r="G280" s="191"/>
      <c r="H280" s="191"/>
      <c r="I280" s="191"/>
      <c r="J280" s="191"/>
      <c r="K280" s="142" t="s">
        <v>1248</v>
      </c>
      <c r="L280" s="132" t="s">
        <v>194</v>
      </c>
      <c r="M280" s="132" t="s">
        <v>348</v>
      </c>
      <c r="N280" s="185">
        <v>909.0932</v>
      </c>
      <c r="O280" s="185">
        <v>646.28435</v>
      </c>
      <c r="P280" s="185">
        <v>1270</v>
      </c>
      <c r="Q280" s="185">
        <v>0</v>
      </c>
      <c r="R280" s="188">
        <v>0</v>
      </c>
      <c r="S280" s="188">
        <v>0</v>
      </c>
    </row>
    <row r="281" spans="1:19" s="137" customFormat="1" ht="107.25" customHeight="1">
      <c r="A281" s="200"/>
      <c r="B281" s="209"/>
      <c r="C281" s="130"/>
      <c r="D281" s="204"/>
      <c r="E281" s="192"/>
      <c r="F281" s="192"/>
      <c r="G281" s="192"/>
      <c r="H281" s="192"/>
      <c r="I281" s="192"/>
      <c r="J281" s="192"/>
      <c r="K281" s="142" t="s">
        <v>1249</v>
      </c>
      <c r="L281" s="138" t="s">
        <v>194</v>
      </c>
      <c r="M281" s="138" t="s">
        <v>1251</v>
      </c>
      <c r="N281" s="186"/>
      <c r="O281" s="186"/>
      <c r="P281" s="186"/>
      <c r="Q281" s="186"/>
      <c r="R281" s="190"/>
      <c r="S281" s="190"/>
    </row>
    <row r="282" spans="1:19" s="137" customFormat="1" ht="98.25" customHeight="1">
      <c r="A282" s="202"/>
      <c r="B282" s="210"/>
      <c r="C282" s="130"/>
      <c r="D282" s="206"/>
      <c r="E282" s="193"/>
      <c r="F282" s="193"/>
      <c r="G282" s="193"/>
      <c r="H282" s="193"/>
      <c r="I282" s="193"/>
      <c r="J282" s="193"/>
      <c r="K282" s="142" t="s">
        <v>1250</v>
      </c>
      <c r="L282" s="133" t="s">
        <v>194</v>
      </c>
      <c r="M282" s="133" t="s">
        <v>1252</v>
      </c>
      <c r="N282" s="187"/>
      <c r="O282" s="187"/>
      <c r="P282" s="187"/>
      <c r="Q282" s="187"/>
      <c r="R282" s="189"/>
      <c r="S282" s="189"/>
    </row>
    <row r="283" spans="1:19" s="137" customFormat="1" ht="51.75" customHeight="1">
      <c r="A283" s="127">
        <v>303</v>
      </c>
      <c r="B283" s="35" t="s">
        <v>418</v>
      </c>
      <c r="C283" s="130"/>
      <c r="D283" s="135" t="s">
        <v>15</v>
      </c>
      <c r="E283" s="130"/>
      <c r="F283" s="130"/>
      <c r="G283" s="130"/>
      <c r="H283" s="130"/>
      <c r="I283" s="130"/>
      <c r="J283" s="130"/>
      <c r="K283" s="130" t="s">
        <v>1253</v>
      </c>
      <c r="L283" s="130" t="s">
        <v>194</v>
      </c>
      <c r="M283" s="130" t="s">
        <v>1211</v>
      </c>
      <c r="N283" s="51">
        <v>2800</v>
      </c>
      <c r="O283" s="51">
        <v>2369.309</v>
      </c>
      <c r="P283" s="51">
        <v>0</v>
      </c>
      <c r="Q283" s="51">
        <v>0</v>
      </c>
      <c r="R283" s="52">
        <v>0</v>
      </c>
      <c r="S283" s="52">
        <v>0</v>
      </c>
    </row>
    <row r="284" spans="1:19" s="137" customFormat="1" ht="69.75" customHeight="1">
      <c r="A284" s="127">
        <v>305</v>
      </c>
      <c r="B284" s="35" t="s">
        <v>419</v>
      </c>
      <c r="C284" s="130"/>
      <c r="D284" s="135" t="s">
        <v>143</v>
      </c>
      <c r="E284" s="130"/>
      <c r="F284" s="130"/>
      <c r="G284" s="130"/>
      <c r="H284" s="130"/>
      <c r="I284" s="130"/>
      <c r="J284" s="130"/>
      <c r="K284" s="130" t="s">
        <v>1254</v>
      </c>
      <c r="L284" s="130" t="s">
        <v>194</v>
      </c>
      <c r="M284" s="130" t="s">
        <v>1211</v>
      </c>
      <c r="N284" s="51">
        <v>4987.179</v>
      </c>
      <c r="O284" s="51">
        <v>4987.179</v>
      </c>
      <c r="P284" s="51">
        <v>0</v>
      </c>
      <c r="Q284" s="51">
        <v>0</v>
      </c>
      <c r="R284" s="52">
        <v>0</v>
      </c>
      <c r="S284" s="52">
        <v>0</v>
      </c>
    </row>
    <row r="285" spans="1:19" s="137" customFormat="1" ht="108" customHeight="1">
      <c r="A285" s="127">
        <v>585</v>
      </c>
      <c r="B285" s="35" t="s">
        <v>308</v>
      </c>
      <c r="C285" s="130"/>
      <c r="D285" s="135" t="s">
        <v>247</v>
      </c>
      <c r="E285" s="130"/>
      <c r="F285" s="130"/>
      <c r="G285" s="130"/>
      <c r="H285" s="130" t="s">
        <v>1487</v>
      </c>
      <c r="I285" s="130" t="s">
        <v>1488</v>
      </c>
      <c r="J285" s="130" t="s">
        <v>1489</v>
      </c>
      <c r="K285" s="130" t="s">
        <v>1255</v>
      </c>
      <c r="L285" s="130" t="s">
        <v>194</v>
      </c>
      <c r="M285" s="130" t="s">
        <v>1256</v>
      </c>
      <c r="N285" s="51">
        <v>42.55</v>
      </c>
      <c r="O285" s="51">
        <v>42.55</v>
      </c>
      <c r="P285" s="51">
        <v>0</v>
      </c>
      <c r="Q285" s="51">
        <v>0</v>
      </c>
      <c r="R285" s="52">
        <v>0</v>
      </c>
      <c r="S285" s="52">
        <v>0</v>
      </c>
    </row>
    <row r="286" spans="1:19" s="137" customFormat="1" ht="96" customHeight="1">
      <c r="A286" s="127">
        <v>596</v>
      </c>
      <c r="B286" s="35" t="s">
        <v>532</v>
      </c>
      <c r="C286" s="130"/>
      <c r="D286" s="135" t="s">
        <v>171</v>
      </c>
      <c r="E286" s="130"/>
      <c r="F286" s="130"/>
      <c r="G286" s="130"/>
      <c r="H286" s="130" t="s">
        <v>1487</v>
      </c>
      <c r="I286" s="130" t="s">
        <v>1488</v>
      </c>
      <c r="J286" s="130" t="s">
        <v>1489</v>
      </c>
      <c r="K286" s="130" t="s">
        <v>1257</v>
      </c>
      <c r="L286" s="130" t="s">
        <v>194</v>
      </c>
      <c r="M286" s="130" t="s">
        <v>1258</v>
      </c>
      <c r="N286" s="51">
        <v>97.018</v>
      </c>
      <c r="O286" s="51">
        <v>97.018</v>
      </c>
      <c r="P286" s="51">
        <v>0</v>
      </c>
      <c r="Q286" s="51">
        <v>0</v>
      </c>
      <c r="R286" s="52">
        <v>0</v>
      </c>
      <c r="S286" s="52">
        <v>0</v>
      </c>
    </row>
    <row r="287" spans="1:19" s="137" customFormat="1" ht="94.5" customHeight="1">
      <c r="A287" s="199">
        <v>314</v>
      </c>
      <c r="B287" s="208" t="s">
        <v>533</v>
      </c>
      <c r="C287" s="130"/>
      <c r="D287" s="203" t="s">
        <v>1259</v>
      </c>
      <c r="E287" s="191"/>
      <c r="F287" s="191"/>
      <c r="G287" s="191"/>
      <c r="H287" s="191"/>
      <c r="I287" s="191"/>
      <c r="J287" s="191"/>
      <c r="K287" s="139" t="s">
        <v>1260</v>
      </c>
      <c r="L287" s="132" t="s">
        <v>194</v>
      </c>
      <c r="M287" s="132" t="s">
        <v>1251</v>
      </c>
      <c r="N287" s="185">
        <v>140</v>
      </c>
      <c r="O287" s="185">
        <v>140</v>
      </c>
      <c r="P287" s="185">
        <v>0</v>
      </c>
      <c r="Q287" s="185">
        <v>0</v>
      </c>
      <c r="R287" s="188">
        <v>0</v>
      </c>
      <c r="S287" s="188">
        <v>0</v>
      </c>
    </row>
    <row r="288" spans="1:19" s="137" customFormat="1" ht="83.25" customHeight="1">
      <c r="A288" s="202"/>
      <c r="B288" s="210"/>
      <c r="C288" s="130"/>
      <c r="D288" s="206"/>
      <c r="E288" s="193"/>
      <c r="F288" s="193"/>
      <c r="G288" s="193"/>
      <c r="H288" s="193"/>
      <c r="I288" s="193"/>
      <c r="J288" s="193"/>
      <c r="K288" s="140" t="s">
        <v>1261</v>
      </c>
      <c r="L288" s="133" t="s">
        <v>194</v>
      </c>
      <c r="M288" s="133" t="s">
        <v>1262</v>
      </c>
      <c r="N288" s="187"/>
      <c r="O288" s="187"/>
      <c r="P288" s="187"/>
      <c r="Q288" s="187"/>
      <c r="R288" s="189"/>
      <c r="S288" s="189"/>
    </row>
    <row r="289" spans="1:19" s="137" customFormat="1" ht="73.5" customHeight="1">
      <c r="A289" s="127">
        <v>315</v>
      </c>
      <c r="B289" s="35" t="s">
        <v>534</v>
      </c>
      <c r="C289" s="130"/>
      <c r="D289" s="135" t="s">
        <v>224</v>
      </c>
      <c r="E289" s="130"/>
      <c r="F289" s="130"/>
      <c r="G289" s="130"/>
      <c r="H289" s="130"/>
      <c r="I289" s="130"/>
      <c r="J289" s="130"/>
      <c r="K289" s="130" t="s">
        <v>1263</v>
      </c>
      <c r="L289" s="130" t="s">
        <v>245</v>
      </c>
      <c r="M289" s="130" t="s">
        <v>1264</v>
      </c>
      <c r="N289" s="51">
        <v>1244.8</v>
      </c>
      <c r="O289" s="51">
        <v>1244.8</v>
      </c>
      <c r="P289" s="51">
        <v>0</v>
      </c>
      <c r="Q289" s="51">
        <v>0</v>
      </c>
      <c r="R289" s="52">
        <v>0</v>
      </c>
      <c r="S289" s="52">
        <v>0</v>
      </c>
    </row>
    <row r="290" spans="1:19" s="137" customFormat="1" ht="84.75" customHeight="1">
      <c r="A290" s="127">
        <v>595</v>
      </c>
      <c r="B290" s="35" t="s">
        <v>535</v>
      </c>
      <c r="C290" s="130"/>
      <c r="D290" s="135" t="s">
        <v>15</v>
      </c>
      <c r="E290" s="130"/>
      <c r="F290" s="130"/>
      <c r="G290" s="130"/>
      <c r="H290" s="130" t="s">
        <v>1266</v>
      </c>
      <c r="I290" s="130" t="s">
        <v>194</v>
      </c>
      <c r="J290" s="141" t="s">
        <v>1267</v>
      </c>
      <c r="K290" s="121" t="s">
        <v>1265</v>
      </c>
      <c r="L290" s="130" t="s">
        <v>194</v>
      </c>
      <c r="M290" s="130" t="s">
        <v>538</v>
      </c>
      <c r="N290" s="51">
        <v>1387.5</v>
      </c>
      <c r="O290" s="51">
        <v>1387.5</v>
      </c>
      <c r="P290" s="51">
        <v>0</v>
      </c>
      <c r="Q290" s="51">
        <v>0</v>
      </c>
      <c r="R290" s="52">
        <v>0</v>
      </c>
      <c r="S290" s="52">
        <v>0</v>
      </c>
    </row>
    <row r="291" spans="1:19" s="137" customFormat="1" ht="95.25" customHeight="1">
      <c r="A291" s="127">
        <v>609</v>
      </c>
      <c r="B291" s="35" t="s">
        <v>575</v>
      </c>
      <c r="C291" s="130"/>
      <c r="D291" s="135" t="s">
        <v>171</v>
      </c>
      <c r="E291" s="130"/>
      <c r="F291" s="130"/>
      <c r="G291" s="130"/>
      <c r="H291" s="130" t="s">
        <v>1487</v>
      </c>
      <c r="I291" s="130" t="s">
        <v>1488</v>
      </c>
      <c r="J291" s="130" t="s">
        <v>1489</v>
      </c>
      <c r="K291" s="130" t="s">
        <v>1268</v>
      </c>
      <c r="L291" s="130" t="s">
        <v>194</v>
      </c>
      <c r="M291" s="130" t="s">
        <v>1269</v>
      </c>
      <c r="N291" s="51">
        <v>19.3</v>
      </c>
      <c r="O291" s="51">
        <v>19.3</v>
      </c>
      <c r="P291" s="51">
        <v>0</v>
      </c>
      <c r="Q291" s="51">
        <v>0</v>
      </c>
      <c r="R291" s="52">
        <v>0</v>
      </c>
      <c r="S291" s="52">
        <v>0</v>
      </c>
    </row>
    <row r="292" spans="1:19" s="137" customFormat="1" ht="120" customHeight="1">
      <c r="A292" s="127">
        <v>611</v>
      </c>
      <c r="B292" s="35" t="s">
        <v>576</v>
      </c>
      <c r="C292" s="130"/>
      <c r="D292" s="135" t="s">
        <v>147</v>
      </c>
      <c r="E292" s="130"/>
      <c r="F292" s="130"/>
      <c r="G292" s="130"/>
      <c r="H292" s="130" t="s">
        <v>1490</v>
      </c>
      <c r="I292" s="130" t="s">
        <v>1491</v>
      </c>
      <c r="J292" s="130" t="s">
        <v>1492</v>
      </c>
      <c r="K292" s="130" t="s">
        <v>1270</v>
      </c>
      <c r="L292" s="130" t="s">
        <v>194</v>
      </c>
      <c r="M292" s="130" t="s">
        <v>1271</v>
      </c>
      <c r="N292" s="51">
        <v>43</v>
      </c>
      <c r="O292" s="51">
        <v>43</v>
      </c>
      <c r="P292" s="51">
        <v>0</v>
      </c>
      <c r="Q292" s="51">
        <v>0</v>
      </c>
      <c r="R292" s="52">
        <v>0</v>
      </c>
      <c r="S292" s="52">
        <v>0</v>
      </c>
    </row>
    <row r="293" spans="1:19" s="137" customFormat="1" ht="60" customHeight="1">
      <c r="A293" s="127">
        <v>325</v>
      </c>
      <c r="B293" s="35" t="s">
        <v>725</v>
      </c>
      <c r="C293" s="130"/>
      <c r="D293" s="135" t="s">
        <v>1202</v>
      </c>
      <c r="E293" s="130"/>
      <c r="F293" s="130"/>
      <c r="G293" s="130"/>
      <c r="H293" s="130"/>
      <c r="I293" s="130"/>
      <c r="J293" s="130"/>
      <c r="K293" s="130" t="s">
        <v>1272</v>
      </c>
      <c r="L293" s="130" t="s">
        <v>194</v>
      </c>
      <c r="M293" s="130" t="s">
        <v>1244</v>
      </c>
      <c r="N293" s="51">
        <v>50</v>
      </c>
      <c r="O293" s="51">
        <v>28.35114</v>
      </c>
      <c r="P293" s="51">
        <v>0</v>
      </c>
      <c r="Q293" s="51">
        <v>0</v>
      </c>
      <c r="R293" s="52">
        <v>0</v>
      </c>
      <c r="S293" s="52">
        <v>0</v>
      </c>
    </row>
    <row r="294" spans="1:19" s="137" customFormat="1" ht="84.75" customHeight="1">
      <c r="A294" s="127">
        <v>604</v>
      </c>
      <c r="B294" s="35" t="s">
        <v>577</v>
      </c>
      <c r="C294" s="130"/>
      <c r="D294" s="135" t="s">
        <v>143</v>
      </c>
      <c r="E294" s="130"/>
      <c r="F294" s="130"/>
      <c r="G294" s="130"/>
      <c r="H294" s="130" t="s">
        <v>1487</v>
      </c>
      <c r="I294" s="130" t="s">
        <v>1488</v>
      </c>
      <c r="J294" s="130" t="s">
        <v>1489</v>
      </c>
      <c r="K294" s="130" t="s">
        <v>1273</v>
      </c>
      <c r="L294" s="130" t="s">
        <v>194</v>
      </c>
      <c r="M294" s="130" t="s">
        <v>1274</v>
      </c>
      <c r="N294" s="51">
        <v>99</v>
      </c>
      <c r="O294" s="51">
        <v>99</v>
      </c>
      <c r="P294" s="51">
        <v>0</v>
      </c>
      <c r="Q294" s="51">
        <v>0</v>
      </c>
      <c r="R294" s="52">
        <v>0</v>
      </c>
      <c r="S294" s="52">
        <v>0</v>
      </c>
    </row>
    <row r="295" spans="1:19" s="137" customFormat="1" ht="73.5" customHeight="1">
      <c r="A295" s="127">
        <v>324</v>
      </c>
      <c r="B295" s="35" t="s">
        <v>578</v>
      </c>
      <c r="C295" s="130"/>
      <c r="D295" s="135" t="s">
        <v>305</v>
      </c>
      <c r="E295" s="130"/>
      <c r="F295" s="130"/>
      <c r="G295" s="130"/>
      <c r="H295" s="130"/>
      <c r="I295" s="130"/>
      <c r="J295" s="130"/>
      <c r="K295" s="130" t="s">
        <v>1275</v>
      </c>
      <c r="L295" s="130" t="s">
        <v>194</v>
      </c>
      <c r="M295" s="130" t="s">
        <v>1244</v>
      </c>
      <c r="N295" s="51">
        <v>100</v>
      </c>
      <c r="O295" s="51">
        <v>100</v>
      </c>
      <c r="P295" s="51">
        <v>0</v>
      </c>
      <c r="Q295" s="51">
        <v>0</v>
      </c>
      <c r="R295" s="52">
        <v>0</v>
      </c>
      <c r="S295" s="52">
        <v>0</v>
      </c>
    </row>
    <row r="296" spans="1:19" s="137" customFormat="1" ht="71.25" customHeight="1">
      <c r="A296" s="127">
        <v>320</v>
      </c>
      <c r="B296" s="11" t="s">
        <v>579</v>
      </c>
      <c r="C296" s="130"/>
      <c r="D296" s="135" t="s">
        <v>15</v>
      </c>
      <c r="E296" s="130"/>
      <c r="F296" s="130"/>
      <c r="G296" s="130"/>
      <c r="H296" s="130"/>
      <c r="I296" s="130"/>
      <c r="J296" s="130"/>
      <c r="K296" s="130" t="s">
        <v>1276</v>
      </c>
      <c r="L296" s="130" t="s">
        <v>194</v>
      </c>
      <c r="M296" s="130" t="s">
        <v>1244</v>
      </c>
      <c r="N296" s="51">
        <v>100</v>
      </c>
      <c r="O296" s="51">
        <v>100</v>
      </c>
      <c r="P296" s="51">
        <v>0</v>
      </c>
      <c r="Q296" s="51">
        <v>0</v>
      </c>
      <c r="R296" s="52">
        <v>0</v>
      </c>
      <c r="S296" s="52">
        <v>0</v>
      </c>
    </row>
    <row r="297" spans="1:19" s="137" customFormat="1" ht="57.75" customHeight="1">
      <c r="A297" s="127">
        <v>319</v>
      </c>
      <c r="B297" s="11" t="s">
        <v>580</v>
      </c>
      <c r="C297" s="130"/>
      <c r="D297" s="135" t="s">
        <v>15</v>
      </c>
      <c r="E297" s="130"/>
      <c r="F297" s="130"/>
      <c r="G297" s="130"/>
      <c r="H297" s="130"/>
      <c r="I297" s="130"/>
      <c r="J297" s="130"/>
      <c r="K297" s="130" t="s">
        <v>1277</v>
      </c>
      <c r="L297" s="130" t="s">
        <v>194</v>
      </c>
      <c r="M297" s="130" t="s">
        <v>1244</v>
      </c>
      <c r="N297" s="51">
        <v>160</v>
      </c>
      <c r="O297" s="51">
        <v>160</v>
      </c>
      <c r="P297" s="51">
        <v>0</v>
      </c>
      <c r="Q297" s="51">
        <v>0</v>
      </c>
      <c r="R297" s="52">
        <v>0</v>
      </c>
      <c r="S297" s="52">
        <v>0</v>
      </c>
    </row>
    <row r="298" spans="1:19" s="137" customFormat="1" ht="60.75" customHeight="1">
      <c r="A298" s="127">
        <v>318</v>
      </c>
      <c r="B298" s="11" t="s">
        <v>581</v>
      </c>
      <c r="C298" s="130"/>
      <c r="D298" s="135" t="s">
        <v>1259</v>
      </c>
      <c r="E298" s="130"/>
      <c r="F298" s="130"/>
      <c r="G298" s="130"/>
      <c r="H298" s="130"/>
      <c r="I298" s="130"/>
      <c r="J298" s="130"/>
      <c r="K298" s="130" t="s">
        <v>1278</v>
      </c>
      <c r="L298" s="130" t="s">
        <v>194</v>
      </c>
      <c r="M298" s="130" t="s">
        <v>1280</v>
      </c>
      <c r="N298" s="51">
        <v>200</v>
      </c>
      <c r="O298" s="51">
        <v>200</v>
      </c>
      <c r="P298" s="51">
        <v>0</v>
      </c>
      <c r="Q298" s="51">
        <v>0</v>
      </c>
      <c r="R298" s="52">
        <v>0</v>
      </c>
      <c r="S298" s="52">
        <v>0</v>
      </c>
    </row>
    <row r="299" spans="1:19" s="137" customFormat="1" ht="71.25" customHeight="1">
      <c r="A299" s="127">
        <v>316</v>
      </c>
      <c r="B299" s="11" t="s">
        <v>582</v>
      </c>
      <c r="C299" s="130"/>
      <c r="D299" s="135" t="s">
        <v>15</v>
      </c>
      <c r="E299" s="130"/>
      <c r="F299" s="130"/>
      <c r="G299" s="130"/>
      <c r="H299" s="130"/>
      <c r="I299" s="130"/>
      <c r="J299" s="130"/>
      <c r="K299" s="130" t="s">
        <v>1279</v>
      </c>
      <c r="L299" s="130" t="s">
        <v>194</v>
      </c>
      <c r="M299" s="130" t="s">
        <v>1244</v>
      </c>
      <c r="N299" s="51">
        <v>295</v>
      </c>
      <c r="O299" s="51">
        <v>295</v>
      </c>
      <c r="P299" s="51">
        <v>0</v>
      </c>
      <c r="Q299" s="51">
        <v>0</v>
      </c>
      <c r="R299" s="52">
        <v>0</v>
      </c>
      <c r="S299" s="52">
        <v>0</v>
      </c>
    </row>
    <row r="300" spans="1:19" s="137" customFormat="1" ht="84" customHeight="1">
      <c r="A300" s="127">
        <v>323</v>
      </c>
      <c r="B300" s="11" t="s">
        <v>583</v>
      </c>
      <c r="C300" s="130"/>
      <c r="D300" s="135" t="s">
        <v>1202</v>
      </c>
      <c r="E300" s="130"/>
      <c r="F300" s="130"/>
      <c r="G300" s="130"/>
      <c r="H300" s="130"/>
      <c r="I300" s="130"/>
      <c r="J300" s="130"/>
      <c r="K300" s="130" t="s">
        <v>1281</v>
      </c>
      <c r="L300" s="130" t="s">
        <v>194</v>
      </c>
      <c r="M300" s="130" t="s">
        <v>1286</v>
      </c>
      <c r="N300" s="51">
        <v>600</v>
      </c>
      <c r="O300" s="51">
        <v>600</v>
      </c>
      <c r="P300" s="51">
        <v>0</v>
      </c>
      <c r="Q300" s="51">
        <v>0</v>
      </c>
      <c r="R300" s="52">
        <v>0</v>
      </c>
      <c r="S300" s="52">
        <v>0</v>
      </c>
    </row>
    <row r="301" spans="1:19" s="137" customFormat="1" ht="118.5" customHeight="1">
      <c r="A301" s="127">
        <v>601</v>
      </c>
      <c r="B301" s="35" t="s">
        <v>531</v>
      </c>
      <c r="C301" s="130"/>
      <c r="D301" s="135" t="s">
        <v>171</v>
      </c>
      <c r="E301" s="130"/>
      <c r="F301" s="130"/>
      <c r="G301" s="130"/>
      <c r="H301" s="130" t="s">
        <v>1487</v>
      </c>
      <c r="I301" s="130" t="s">
        <v>1488</v>
      </c>
      <c r="J301" s="130" t="s">
        <v>1489</v>
      </c>
      <c r="K301" s="130" t="s">
        <v>1282</v>
      </c>
      <c r="L301" s="130" t="s">
        <v>194</v>
      </c>
      <c r="M301" s="130" t="s">
        <v>1244</v>
      </c>
      <c r="N301" s="51">
        <v>3000</v>
      </c>
      <c r="O301" s="51">
        <v>3000</v>
      </c>
      <c r="P301" s="51">
        <v>0</v>
      </c>
      <c r="Q301" s="51">
        <v>0</v>
      </c>
      <c r="R301" s="52">
        <v>0</v>
      </c>
      <c r="S301" s="52">
        <v>0</v>
      </c>
    </row>
    <row r="302" spans="1:19" s="137" customFormat="1" ht="83.25" customHeight="1">
      <c r="A302" s="199">
        <v>34</v>
      </c>
      <c r="B302" s="195" t="s">
        <v>584</v>
      </c>
      <c r="C302" s="130"/>
      <c r="D302" s="203" t="s">
        <v>224</v>
      </c>
      <c r="E302" s="191"/>
      <c r="F302" s="191"/>
      <c r="G302" s="191"/>
      <c r="H302" s="191" t="s">
        <v>1493</v>
      </c>
      <c r="I302" s="191" t="s">
        <v>1494</v>
      </c>
      <c r="J302" s="191" t="s">
        <v>441</v>
      </c>
      <c r="K302" s="132" t="s">
        <v>1283</v>
      </c>
      <c r="L302" s="132" t="s">
        <v>194</v>
      </c>
      <c r="M302" s="132" t="s">
        <v>1286</v>
      </c>
      <c r="N302" s="185">
        <v>1990.6</v>
      </c>
      <c r="O302" s="185">
        <v>1669.1</v>
      </c>
      <c r="P302" s="185">
        <v>321.5</v>
      </c>
      <c r="Q302" s="185">
        <v>0</v>
      </c>
      <c r="R302" s="188">
        <v>0</v>
      </c>
      <c r="S302" s="188">
        <v>0</v>
      </c>
    </row>
    <row r="303" spans="1:19" s="137" customFormat="1" ht="57" customHeight="1">
      <c r="A303" s="202"/>
      <c r="B303" s="198"/>
      <c r="C303" s="130"/>
      <c r="D303" s="206"/>
      <c r="E303" s="193"/>
      <c r="F303" s="193"/>
      <c r="G303" s="193"/>
      <c r="H303" s="193"/>
      <c r="I303" s="193"/>
      <c r="J303" s="193"/>
      <c r="K303" s="133" t="s">
        <v>1284</v>
      </c>
      <c r="L303" s="133" t="s">
        <v>194</v>
      </c>
      <c r="M303" s="133" t="s">
        <v>1287</v>
      </c>
      <c r="N303" s="187"/>
      <c r="O303" s="187"/>
      <c r="P303" s="187"/>
      <c r="Q303" s="187"/>
      <c r="R303" s="189"/>
      <c r="S303" s="189"/>
    </row>
    <row r="304" spans="1:19" s="137" customFormat="1" ht="84" customHeight="1">
      <c r="A304" s="127">
        <v>629</v>
      </c>
      <c r="B304" s="11" t="s">
        <v>625</v>
      </c>
      <c r="C304" s="130"/>
      <c r="D304" s="135" t="s">
        <v>15</v>
      </c>
      <c r="E304" s="130"/>
      <c r="F304" s="130"/>
      <c r="G304" s="130"/>
      <c r="H304" s="130" t="s">
        <v>1487</v>
      </c>
      <c r="I304" s="130" t="s">
        <v>1488</v>
      </c>
      <c r="J304" s="130" t="s">
        <v>1489</v>
      </c>
      <c r="K304" s="130" t="s">
        <v>1285</v>
      </c>
      <c r="L304" s="130" t="s">
        <v>194</v>
      </c>
      <c r="M304" s="130" t="s">
        <v>1288</v>
      </c>
      <c r="N304" s="51">
        <v>40.9</v>
      </c>
      <c r="O304" s="51">
        <v>40.9</v>
      </c>
      <c r="P304" s="51">
        <v>0</v>
      </c>
      <c r="Q304" s="51">
        <v>0</v>
      </c>
      <c r="R304" s="52">
        <v>0</v>
      </c>
      <c r="S304" s="52">
        <v>0</v>
      </c>
    </row>
    <row r="305" spans="1:19" s="137" customFormat="1" ht="97.5" customHeight="1">
      <c r="A305" s="127">
        <v>641</v>
      </c>
      <c r="B305" s="11" t="s">
        <v>626</v>
      </c>
      <c r="C305" s="130"/>
      <c r="D305" s="135" t="s">
        <v>171</v>
      </c>
      <c r="E305" s="130"/>
      <c r="F305" s="130"/>
      <c r="G305" s="130"/>
      <c r="H305" s="130" t="s">
        <v>1487</v>
      </c>
      <c r="I305" s="130" t="s">
        <v>1488</v>
      </c>
      <c r="J305" s="130" t="s">
        <v>1489</v>
      </c>
      <c r="K305" s="130" t="s">
        <v>1289</v>
      </c>
      <c r="L305" s="130" t="s">
        <v>194</v>
      </c>
      <c r="M305" s="130" t="s">
        <v>1293</v>
      </c>
      <c r="N305" s="51">
        <v>98.216</v>
      </c>
      <c r="O305" s="51">
        <v>98.216</v>
      </c>
      <c r="P305" s="51">
        <v>0</v>
      </c>
      <c r="Q305" s="51">
        <v>0</v>
      </c>
      <c r="R305" s="52">
        <v>0</v>
      </c>
      <c r="S305" s="52">
        <v>0</v>
      </c>
    </row>
    <row r="306" spans="1:19" s="137" customFormat="1" ht="83.25" customHeight="1">
      <c r="A306" s="127">
        <v>332</v>
      </c>
      <c r="B306" s="11" t="s">
        <v>627</v>
      </c>
      <c r="C306" s="130"/>
      <c r="D306" s="135" t="s">
        <v>143</v>
      </c>
      <c r="E306" s="130"/>
      <c r="F306" s="130"/>
      <c r="G306" s="130"/>
      <c r="H306" s="130"/>
      <c r="I306" s="130"/>
      <c r="J306" s="130"/>
      <c r="K306" s="130" t="s">
        <v>1290</v>
      </c>
      <c r="L306" s="130" t="s">
        <v>194</v>
      </c>
      <c r="M306" s="130" t="s">
        <v>1286</v>
      </c>
      <c r="N306" s="51">
        <v>98.5</v>
      </c>
      <c r="O306" s="51">
        <v>98.5</v>
      </c>
      <c r="P306" s="51">
        <v>0</v>
      </c>
      <c r="Q306" s="51">
        <v>0</v>
      </c>
      <c r="R306" s="52">
        <v>0</v>
      </c>
      <c r="S306" s="52">
        <v>0</v>
      </c>
    </row>
    <row r="307" spans="1:19" s="137" customFormat="1" ht="95.25" customHeight="1">
      <c r="A307" s="127">
        <v>630</v>
      </c>
      <c r="B307" s="11" t="s">
        <v>628</v>
      </c>
      <c r="C307" s="130"/>
      <c r="D307" s="135" t="s">
        <v>171</v>
      </c>
      <c r="E307" s="130"/>
      <c r="F307" s="130"/>
      <c r="G307" s="130"/>
      <c r="H307" s="130" t="s">
        <v>1487</v>
      </c>
      <c r="I307" s="130" t="s">
        <v>1488</v>
      </c>
      <c r="J307" s="130" t="s">
        <v>1489</v>
      </c>
      <c r="K307" s="130" t="s">
        <v>1291</v>
      </c>
      <c r="L307" s="130" t="s">
        <v>194</v>
      </c>
      <c r="M307" s="130" t="s">
        <v>1294</v>
      </c>
      <c r="N307" s="51">
        <v>99.36</v>
      </c>
      <c r="O307" s="51">
        <v>99.36</v>
      </c>
      <c r="P307" s="51">
        <v>0</v>
      </c>
      <c r="Q307" s="51">
        <v>0</v>
      </c>
      <c r="R307" s="52">
        <v>0</v>
      </c>
      <c r="S307" s="52">
        <v>0</v>
      </c>
    </row>
    <row r="308" spans="1:19" s="137" customFormat="1" ht="105.75" customHeight="1">
      <c r="A308" s="127">
        <v>617</v>
      </c>
      <c r="B308" s="11" t="s">
        <v>656</v>
      </c>
      <c r="C308" s="130"/>
      <c r="D308" s="135" t="s">
        <v>296</v>
      </c>
      <c r="E308" s="130"/>
      <c r="F308" s="130"/>
      <c r="G308" s="130"/>
      <c r="H308" s="130" t="s">
        <v>1487</v>
      </c>
      <c r="I308" s="130" t="s">
        <v>1488</v>
      </c>
      <c r="J308" s="130" t="s">
        <v>1489</v>
      </c>
      <c r="K308" s="130" t="s">
        <v>1292</v>
      </c>
      <c r="L308" s="130" t="s">
        <v>194</v>
      </c>
      <c r="M308" s="130" t="s">
        <v>1295</v>
      </c>
      <c r="N308" s="51">
        <v>99.86</v>
      </c>
      <c r="O308" s="51">
        <v>99.86</v>
      </c>
      <c r="P308" s="51">
        <v>0</v>
      </c>
      <c r="Q308" s="51">
        <v>0</v>
      </c>
      <c r="R308" s="52">
        <v>0</v>
      </c>
      <c r="S308" s="52">
        <v>0</v>
      </c>
    </row>
    <row r="309" spans="1:19" s="137" customFormat="1" ht="83.25" customHeight="1">
      <c r="A309" s="127">
        <v>328</v>
      </c>
      <c r="B309" s="11" t="s">
        <v>657</v>
      </c>
      <c r="C309" s="130"/>
      <c r="D309" s="135" t="s">
        <v>1259</v>
      </c>
      <c r="E309" s="130"/>
      <c r="F309" s="130"/>
      <c r="G309" s="130"/>
      <c r="H309" s="130"/>
      <c r="I309" s="130"/>
      <c r="J309" s="130"/>
      <c r="K309" s="130" t="s">
        <v>1296</v>
      </c>
      <c r="L309" s="130" t="s">
        <v>245</v>
      </c>
      <c r="M309" s="130" t="s">
        <v>1300</v>
      </c>
      <c r="N309" s="51">
        <v>146</v>
      </c>
      <c r="O309" s="51">
        <v>146</v>
      </c>
      <c r="P309" s="51">
        <v>0</v>
      </c>
      <c r="Q309" s="51">
        <v>0</v>
      </c>
      <c r="R309" s="52">
        <v>0</v>
      </c>
      <c r="S309" s="52">
        <v>0</v>
      </c>
    </row>
    <row r="310" spans="1:19" s="137" customFormat="1" ht="71.25" customHeight="1">
      <c r="A310" s="127">
        <v>334</v>
      </c>
      <c r="B310" s="11" t="s">
        <v>658</v>
      </c>
      <c r="C310" s="130"/>
      <c r="D310" s="135" t="s">
        <v>143</v>
      </c>
      <c r="E310" s="130"/>
      <c r="F310" s="130"/>
      <c r="G310" s="130"/>
      <c r="H310" s="130"/>
      <c r="I310" s="130"/>
      <c r="J310" s="130"/>
      <c r="K310" s="130" t="s">
        <v>1297</v>
      </c>
      <c r="L310" s="130" t="s">
        <v>194</v>
      </c>
      <c r="M310" s="130" t="s">
        <v>1286</v>
      </c>
      <c r="N310" s="51">
        <v>177.976</v>
      </c>
      <c r="O310" s="51">
        <v>177.976</v>
      </c>
      <c r="P310" s="51">
        <v>0</v>
      </c>
      <c r="Q310" s="51">
        <v>0</v>
      </c>
      <c r="R310" s="52">
        <v>0</v>
      </c>
      <c r="S310" s="52">
        <v>0</v>
      </c>
    </row>
    <row r="311" spans="1:19" s="137" customFormat="1" ht="93.75" customHeight="1">
      <c r="A311" s="127">
        <v>341</v>
      </c>
      <c r="B311" s="11" t="s">
        <v>19</v>
      </c>
      <c r="C311" s="130"/>
      <c r="D311" s="135" t="s">
        <v>1202</v>
      </c>
      <c r="E311" s="130"/>
      <c r="F311" s="130"/>
      <c r="G311" s="130"/>
      <c r="H311" s="130"/>
      <c r="I311" s="130"/>
      <c r="J311" s="130"/>
      <c r="K311" s="130" t="s">
        <v>1298</v>
      </c>
      <c r="L311" s="130" t="s">
        <v>194</v>
      </c>
      <c r="M311" s="130" t="s">
        <v>1286</v>
      </c>
      <c r="N311" s="51">
        <v>171.78142</v>
      </c>
      <c r="O311" s="51">
        <v>171.78142</v>
      </c>
      <c r="P311" s="51">
        <v>0</v>
      </c>
      <c r="Q311" s="51">
        <v>0</v>
      </c>
      <c r="R311" s="52">
        <v>0</v>
      </c>
      <c r="S311" s="52">
        <v>0</v>
      </c>
    </row>
    <row r="312" spans="1:19" s="137" customFormat="1" ht="70.5" customHeight="1">
      <c r="A312" s="127">
        <v>333</v>
      </c>
      <c r="B312" s="11" t="s">
        <v>659</v>
      </c>
      <c r="C312" s="130"/>
      <c r="D312" s="135" t="s">
        <v>143</v>
      </c>
      <c r="E312" s="130"/>
      <c r="F312" s="130"/>
      <c r="G312" s="130"/>
      <c r="H312" s="130"/>
      <c r="I312" s="130"/>
      <c r="J312" s="130"/>
      <c r="K312" s="130" t="s">
        <v>1299</v>
      </c>
      <c r="L312" s="130" t="s">
        <v>245</v>
      </c>
      <c r="M312" s="130" t="s">
        <v>1286</v>
      </c>
      <c r="N312" s="51">
        <v>199.5</v>
      </c>
      <c r="O312" s="51">
        <v>199.5</v>
      </c>
      <c r="P312" s="51">
        <v>0</v>
      </c>
      <c r="Q312" s="51">
        <v>0</v>
      </c>
      <c r="R312" s="52">
        <v>0</v>
      </c>
      <c r="S312" s="52">
        <v>0</v>
      </c>
    </row>
    <row r="313" spans="1:19" s="137" customFormat="1" ht="95.25" customHeight="1">
      <c r="A313" s="127">
        <v>619</v>
      </c>
      <c r="B313" s="11" t="s">
        <v>660</v>
      </c>
      <c r="C313" s="130"/>
      <c r="D313" s="135" t="s">
        <v>171</v>
      </c>
      <c r="E313" s="130"/>
      <c r="F313" s="130"/>
      <c r="G313" s="130"/>
      <c r="H313" s="130" t="s">
        <v>1487</v>
      </c>
      <c r="I313" s="130" t="s">
        <v>1488</v>
      </c>
      <c r="J313" s="130" t="s">
        <v>1489</v>
      </c>
      <c r="K313" s="130" t="s">
        <v>1301</v>
      </c>
      <c r="L313" s="130" t="s">
        <v>194</v>
      </c>
      <c r="M313" s="130" t="s">
        <v>1306</v>
      </c>
      <c r="N313" s="51">
        <v>205</v>
      </c>
      <c r="O313" s="51">
        <v>205</v>
      </c>
      <c r="P313" s="51">
        <v>0</v>
      </c>
      <c r="Q313" s="51">
        <v>0</v>
      </c>
      <c r="R313" s="52">
        <v>0</v>
      </c>
      <c r="S313" s="52">
        <v>0</v>
      </c>
    </row>
    <row r="314" spans="1:19" s="137" customFormat="1" ht="107.25" customHeight="1">
      <c r="A314" s="127">
        <v>640</v>
      </c>
      <c r="B314" s="11" t="s">
        <v>661</v>
      </c>
      <c r="C314" s="130"/>
      <c r="D314" s="135" t="s">
        <v>15</v>
      </c>
      <c r="E314" s="130"/>
      <c r="F314" s="130"/>
      <c r="G314" s="130"/>
      <c r="H314" s="130" t="s">
        <v>1487</v>
      </c>
      <c r="I314" s="130" t="s">
        <v>1488</v>
      </c>
      <c r="J314" s="130" t="s">
        <v>1489</v>
      </c>
      <c r="K314" s="130" t="s">
        <v>1302</v>
      </c>
      <c r="L314" s="130" t="s">
        <v>194</v>
      </c>
      <c r="M314" s="130" t="s">
        <v>1307</v>
      </c>
      <c r="N314" s="51">
        <v>239</v>
      </c>
      <c r="O314" s="51">
        <v>239</v>
      </c>
      <c r="P314" s="51">
        <v>0</v>
      </c>
      <c r="Q314" s="51">
        <v>0</v>
      </c>
      <c r="R314" s="52">
        <v>0</v>
      </c>
      <c r="S314" s="52">
        <v>0</v>
      </c>
    </row>
    <row r="315" spans="1:19" s="137" customFormat="1" ht="69.75" customHeight="1">
      <c r="A315" s="199">
        <v>658</v>
      </c>
      <c r="B315" s="195" t="s">
        <v>662</v>
      </c>
      <c r="C315" s="130"/>
      <c r="D315" s="203" t="s">
        <v>206</v>
      </c>
      <c r="E315" s="191"/>
      <c r="F315" s="191"/>
      <c r="G315" s="191"/>
      <c r="H315" s="191"/>
      <c r="I315" s="191"/>
      <c r="J315" s="191"/>
      <c r="K315" s="139" t="s">
        <v>1303</v>
      </c>
      <c r="L315" s="132" t="s">
        <v>194</v>
      </c>
      <c r="M315" s="132" t="s">
        <v>1308</v>
      </c>
      <c r="N315" s="185">
        <v>279.684</v>
      </c>
      <c r="O315" s="185">
        <v>220.316</v>
      </c>
      <c r="P315" s="185">
        <v>0</v>
      </c>
      <c r="Q315" s="185">
        <v>0</v>
      </c>
      <c r="R315" s="188">
        <v>0</v>
      </c>
      <c r="S315" s="188">
        <v>0</v>
      </c>
    </row>
    <row r="316" spans="1:19" s="137" customFormat="1" ht="83.25" customHeight="1">
      <c r="A316" s="202"/>
      <c r="B316" s="198"/>
      <c r="C316" s="130"/>
      <c r="D316" s="206"/>
      <c r="E316" s="193"/>
      <c r="F316" s="193"/>
      <c r="G316" s="193"/>
      <c r="H316" s="193"/>
      <c r="I316" s="193"/>
      <c r="J316" s="193"/>
      <c r="K316" s="140" t="s">
        <v>1304</v>
      </c>
      <c r="L316" s="133" t="s">
        <v>194</v>
      </c>
      <c r="M316" s="133" t="s">
        <v>1309</v>
      </c>
      <c r="N316" s="187"/>
      <c r="O316" s="187"/>
      <c r="P316" s="187"/>
      <c r="Q316" s="187"/>
      <c r="R316" s="189"/>
      <c r="S316" s="189"/>
    </row>
    <row r="317" spans="1:19" s="137" customFormat="1" ht="82.5" customHeight="1">
      <c r="A317" s="127">
        <v>351</v>
      </c>
      <c r="B317" s="11" t="s">
        <v>781</v>
      </c>
      <c r="C317" s="130"/>
      <c r="D317" s="135" t="s">
        <v>143</v>
      </c>
      <c r="E317" s="130"/>
      <c r="F317" s="130"/>
      <c r="G317" s="130"/>
      <c r="H317" s="130"/>
      <c r="I317" s="130"/>
      <c r="J317" s="130"/>
      <c r="K317" s="130" t="s">
        <v>1305</v>
      </c>
      <c r="L317" s="130" t="s">
        <v>194</v>
      </c>
      <c r="M317" s="130" t="s">
        <v>1286</v>
      </c>
      <c r="N317" s="51">
        <v>355.397</v>
      </c>
      <c r="O317" s="51">
        <v>355.397</v>
      </c>
      <c r="P317" s="51">
        <v>0</v>
      </c>
      <c r="Q317" s="51">
        <v>0</v>
      </c>
      <c r="R317" s="52">
        <v>0</v>
      </c>
      <c r="S317" s="52">
        <v>0</v>
      </c>
    </row>
    <row r="318" spans="1:19" s="137" customFormat="1" ht="60" customHeight="1">
      <c r="A318" s="127">
        <v>627</v>
      </c>
      <c r="B318" s="11" t="s">
        <v>664</v>
      </c>
      <c r="C318" s="130"/>
      <c r="D318" s="135" t="s">
        <v>143</v>
      </c>
      <c r="E318" s="130"/>
      <c r="F318" s="130"/>
      <c r="G318" s="130"/>
      <c r="H318" s="130"/>
      <c r="I318" s="130"/>
      <c r="J318" s="130"/>
      <c r="K318" s="130" t="s">
        <v>1310</v>
      </c>
      <c r="L318" s="130" t="s">
        <v>194</v>
      </c>
      <c r="M318" s="130" t="s">
        <v>1314</v>
      </c>
      <c r="N318" s="51">
        <v>813.5</v>
      </c>
      <c r="O318" s="51">
        <v>813.5</v>
      </c>
      <c r="P318" s="51">
        <v>0</v>
      </c>
      <c r="Q318" s="51">
        <v>0</v>
      </c>
      <c r="R318" s="52">
        <v>0</v>
      </c>
      <c r="S318" s="52">
        <v>0</v>
      </c>
    </row>
    <row r="319" spans="1:19" s="137" customFormat="1" ht="63.75" customHeight="1">
      <c r="A319" s="127">
        <v>628</v>
      </c>
      <c r="B319" s="11" t="s">
        <v>665</v>
      </c>
      <c r="C319" s="130"/>
      <c r="D319" s="135" t="s">
        <v>143</v>
      </c>
      <c r="E319" s="130"/>
      <c r="F319" s="130"/>
      <c r="G319" s="130"/>
      <c r="H319" s="130"/>
      <c r="I319" s="130"/>
      <c r="J319" s="130"/>
      <c r="K319" s="130" t="s">
        <v>1311</v>
      </c>
      <c r="L319" s="130" t="s">
        <v>194</v>
      </c>
      <c r="M319" s="130" t="s">
        <v>1314</v>
      </c>
      <c r="N319" s="51">
        <v>813.5</v>
      </c>
      <c r="O319" s="51">
        <v>813.5</v>
      </c>
      <c r="P319" s="51">
        <v>0</v>
      </c>
      <c r="Q319" s="51">
        <v>0</v>
      </c>
      <c r="R319" s="52">
        <v>0</v>
      </c>
      <c r="S319" s="52">
        <v>0</v>
      </c>
    </row>
    <row r="320" spans="1:19" s="137" customFormat="1" ht="73.5" customHeight="1">
      <c r="A320" s="127">
        <v>626</v>
      </c>
      <c r="B320" s="11" t="s">
        <v>666</v>
      </c>
      <c r="C320" s="130"/>
      <c r="D320" s="135" t="s">
        <v>15</v>
      </c>
      <c r="E320" s="130"/>
      <c r="F320" s="130"/>
      <c r="G320" s="130"/>
      <c r="H320" s="130"/>
      <c r="I320" s="130"/>
      <c r="J320" s="130"/>
      <c r="K320" s="130" t="s">
        <v>1312</v>
      </c>
      <c r="L320" s="130" t="s">
        <v>194</v>
      </c>
      <c r="M320" s="130" t="s">
        <v>1314</v>
      </c>
      <c r="N320" s="51">
        <v>907.8</v>
      </c>
      <c r="O320" s="51">
        <v>907.8</v>
      </c>
      <c r="P320" s="51">
        <v>0</v>
      </c>
      <c r="Q320" s="51">
        <v>0</v>
      </c>
      <c r="R320" s="52">
        <v>0</v>
      </c>
      <c r="S320" s="52">
        <v>0</v>
      </c>
    </row>
    <row r="321" spans="1:19" s="137" customFormat="1" ht="39" customHeight="1">
      <c r="A321" s="127">
        <v>583</v>
      </c>
      <c r="B321" s="11" t="s">
        <v>667</v>
      </c>
      <c r="C321" s="130"/>
      <c r="D321" s="135" t="s">
        <v>1315</v>
      </c>
      <c r="E321" s="130"/>
      <c r="F321" s="130"/>
      <c r="G321" s="130"/>
      <c r="H321" s="130"/>
      <c r="I321" s="130"/>
      <c r="J321" s="130"/>
      <c r="K321" s="130" t="s">
        <v>1313</v>
      </c>
      <c r="L321" s="130"/>
      <c r="M321" s="130" t="s">
        <v>428</v>
      </c>
      <c r="N321" s="51">
        <v>4475.8</v>
      </c>
      <c r="O321" s="51">
        <v>4475.8</v>
      </c>
      <c r="P321" s="51">
        <v>0</v>
      </c>
      <c r="Q321" s="51">
        <v>0</v>
      </c>
      <c r="R321" s="52">
        <v>0</v>
      </c>
      <c r="S321" s="52">
        <v>0</v>
      </c>
    </row>
    <row r="322" spans="1:19" s="137" customFormat="1" ht="94.5" customHeight="1">
      <c r="A322" s="127">
        <v>632</v>
      </c>
      <c r="B322" s="11" t="s">
        <v>668</v>
      </c>
      <c r="C322" s="130"/>
      <c r="D322" s="135" t="s">
        <v>15</v>
      </c>
      <c r="E322" s="130"/>
      <c r="F322" s="130"/>
      <c r="G322" s="130"/>
      <c r="H322" s="130" t="s">
        <v>1487</v>
      </c>
      <c r="I322" s="130" t="s">
        <v>1488</v>
      </c>
      <c r="J322" s="130" t="s">
        <v>1489</v>
      </c>
      <c r="K322" s="130" t="s">
        <v>1316</v>
      </c>
      <c r="L322" s="130" t="s">
        <v>194</v>
      </c>
      <c r="M322" s="130" t="s">
        <v>1320</v>
      </c>
      <c r="N322" s="51">
        <v>3000</v>
      </c>
      <c r="O322" s="51">
        <v>2517.40262</v>
      </c>
      <c r="P322" s="51">
        <v>482.59738</v>
      </c>
      <c r="Q322" s="51">
        <v>0</v>
      </c>
      <c r="R322" s="52">
        <v>0</v>
      </c>
      <c r="S322" s="52">
        <v>0</v>
      </c>
    </row>
    <row r="323" spans="1:19" s="137" customFormat="1" ht="97.5" customHeight="1">
      <c r="A323" s="127">
        <v>655</v>
      </c>
      <c r="B323" s="11" t="s">
        <v>673</v>
      </c>
      <c r="C323" s="130"/>
      <c r="D323" s="135" t="s">
        <v>171</v>
      </c>
      <c r="E323" s="130"/>
      <c r="F323" s="130"/>
      <c r="G323" s="130"/>
      <c r="H323" s="130" t="s">
        <v>1487</v>
      </c>
      <c r="I323" s="130" t="s">
        <v>1488</v>
      </c>
      <c r="J323" s="130" t="s">
        <v>1489</v>
      </c>
      <c r="K323" s="130" t="s">
        <v>1317</v>
      </c>
      <c r="L323" s="130" t="s">
        <v>194</v>
      </c>
      <c r="M323" s="130" t="s">
        <v>1288</v>
      </c>
      <c r="N323" s="51">
        <v>45</v>
      </c>
      <c r="O323" s="51">
        <v>45</v>
      </c>
      <c r="P323" s="51">
        <v>0</v>
      </c>
      <c r="Q323" s="51">
        <v>0</v>
      </c>
      <c r="R323" s="52">
        <v>0</v>
      </c>
      <c r="S323" s="52">
        <v>0</v>
      </c>
    </row>
    <row r="324" spans="1:19" s="137" customFormat="1" ht="72" customHeight="1">
      <c r="A324" s="127">
        <v>336</v>
      </c>
      <c r="B324" s="11" t="s">
        <v>674</v>
      </c>
      <c r="C324" s="130"/>
      <c r="D324" s="135" t="s">
        <v>171</v>
      </c>
      <c r="E324" s="130"/>
      <c r="F324" s="130"/>
      <c r="G324" s="130"/>
      <c r="H324" s="130"/>
      <c r="I324" s="130"/>
      <c r="J324" s="130"/>
      <c r="K324" s="130" t="s">
        <v>1318</v>
      </c>
      <c r="L324" s="130" t="s">
        <v>1203</v>
      </c>
      <c r="M324" s="130" t="s">
        <v>1321</v>
      </c>
      <c r="N324" s="51">
        <v>50</v>
      </c>
      <c r="O324" s="51">
        <v>50</v>
      </c>
      <c r="P324" s="51">
        <v>0</v>
      </c>
      <c r="Q324" s="51">
        <v>0</v>
      </c>
      <c r="R324" s="52">
        <v>0</v>
      </c>
      <c r="S324" s="52">
        <v>0</v>
      </c>
    </row>
    <row r="325" spans="1:19" s="137" customFormat="1" ht="72.75" customHeight="1">
      <c r="A325" s="127">
        <v>338</v>
      </c>
      <c r="B325" s="11" t="s">
        <v>675</v>
      </c>
      <c r="C325" s="130"/>
      <c r="D325" s="135" t="s">
        <v>171</v>
      </c>
      <c r="E325" s="130"/>
      <c r="F325" s="130"/>
      <c r="G325" s="130"/>
      <c r="H325" s="130"/>
      <c r="I325" s="130"/>
      <c r="J325" s="130"/>
      <c r="K325" s="130" t="s">
        <v>1319</v>
      </c>
      <c r="L325" s="130" t="s">
        <v>194</v>
      </c>
      <c r="M325" s="130" t="s">
        <v>1321</v>
      </c>
      <c r="N325" s="51">
        <v>50</v>
      </c>
      <c r="O325" s="51">
        <v>50</v>
      </c>
      <c r="P325" s="51">
        <v>0</v>
      </c>
      <c r="Q325" s="51">
        <v>0</v>
      </c>
      <c r="R325" s="52">
        <v>0</v>
      </c>
      <c r="S325" s="52">
        <v>0</v>
      </c>
    </row>
    <row r="326" spans="1:19" s="137" customFormat="1" ht="95.25" customHeight="1">
      <c r="A326" s="127">
        <v>659</v>
      </c>
      <c r="B326" s="11" t="s">
        <v>676</v>
      </c>
      <c r="C326" s="130"/>
      <c r="D326" s="135" t="s">
        <v>171</v>
      </c>
      <c r="E326" s="130"/>
      <c r="F326" s="130"/>
      <c r="G326" s="130"/>
      <c r="H326" s="130" t="s">
        <v>1487</v>
      </c>
      <c r="I326" s="130" t="s">
        <v>1488</v>
      </c>
      <c r="J326" s="130" t="s">
        <v>1489</v>
      </c>
      <c r="K326" s="130" t="s">
        <v>1322</v>
      </c>
      <c r="L326" s="130" t="s">
        <v>194</v>
      </c>
      <c r="M326" s="130" t="s">
        <v>1326</v>
      </c>
      <c r="N326" s="51">
        <v>80</v>
      </c>
      <c r="O326" s="51">
        <v>80</v>
      </c>
      <c r="P326" s="51">
        <v>0</v>
      </c>
      <c r="Q326" s="51">
        <v>0</v>
      </c>
      <c r="R326" s="52">
        <v>0</v>
      </c>
      <c r="S326" s="52">
        <v>0</v>
      </c>
    </row>
    <row r="327" spans="1:19" s="137" customFormat="1" ht="96.75" customHeight="1">
      <c r="A327" s="127">
        <v>645</v>
      </c>
      <c r="B327" s="11" t="s">
        <v>677</v>
      </c>
      <c r="C327" s="130"/>
      <c r="D327" s="135" t="s">
        <v>15</v>
      </c>
      <c r="E327" s="130"/>
      <c r="F327" s="130"/>
      <c r="G327" s="130"/>
      <c r="H327" s="130" t="s">
        <v>1487</v>
      </c>
      <c r="I327" s="130" t="s">
        <v>1488</v>
      </c>
      <c r="J327" s="130" t="s">
        <v>1489</v>
      </c>
      <c r="K327" s="130" t="s">
        <v>1323</v>
      </c>
      <c r="L327" s="130" t="s">
        <v>194</v>
      </c>
      <c r="M327" s="130" t="s">
        <v>1293</v>
      </c>
      <c r="N327" s="51">
        <v>95</v>
      </c>
      <c r="O327" s="51">
        <v>95</v>
      </c>
      <c r="P327" s="51">
        <v>0</v>
      </c>
      <c r="Q327" s="51">
        <v>0</v>
      </c>
      <c r="R327" s="52">
        <v>0</v>
      </c>
      <c r="S327" s="52">
        <v>0</v>
      </c>
    </row>
    <row r="328" spans="1:19" s="137" customFormat="1" ht="93.75" customHeight="1">
      <c r="A328" s="127">
        <v>647</v>
      </c>
      <c r="B328" s="11" t="s">
        <v>678</v>
      </c>
      <c r="C328" s="130"/>
      <c r="D328" s="135" t="s">
        <v>171</v>
      </c>
      <c r="E328" s="130"/>
      <c r="F328" s="130"/>
      <c r="G328" s="130"/>
      <c r="H328" s="130" t="s">
        <v>1487</v>
      </c>
      <c r="I328" s="130" t="s">
        <v>1488</v>
      </c>
      <c r="J328" s="130" t="s">
        <v>1489</v>
      </c>
      <c r="K328" s="130" t="s">
        <v>1324</v>
      </c>
      <c r="L328" s="130" t="s">
        <v>194</v>
      </c>
      <c r="M328" s="130" t="s">
        <v>1327</v>
      </c>
      <c r="N328" s="51">
        <v>99.26</v>
      </c>
      <c r="O328" s="51">
        <v>99.26</v>
      </c>
      <c r="P328" s="51">
        <v>0</v>
      </c>
      <c r="Q328" s="51">
        <v>0</v>
      </c>
      <c r="R328" s="52">
        <v>0</v>
      </c>
      <c r="S328" s="52">
        <v>0</v>
      </c>
    </row>
    <row r="329" spans="1:19" s="137" customFormat="1" ht="95.25" customHeight="1">
      <c r="A329" s="127">
        <v>645</v>
      </c>
      <c r="B329" s="11" t="s">
        <v>679</v>
      </c>
      <c r="C329" s="130"/>
      <c r="D329" s="135" t="s">
        <v>1259</v>
      </c>
      <c r="E329" s="130"/>
      <c r="F329" s="130"/>
      <c r="G329" s="130"/>
      <c r="H329" s="130" t="s">
        <v>1487</v>
      </c>
      <c r="I329" s="130" t="s">
        <v>1488</v>
      </c>
      <c r="J329" s="130" t="s">
        <v>1489</v>
      </c>
      <c r="K329" s="130" t="s">
        <v>1325</v>
      </c>
      <c r="L329" s="130" t="s">
        <v>194</v>
      </c>
      <c r="M329" s="130" t="s">
        <v>1328</v>
      </c>
      <c r="N329" s="51">
        <v>99.5</v>
      </c>
      <c r="O329" s="51">
        <v>99.4</v>
      </c>
      <c r="P329" s="51">
        <v>0</v>
      </c>
      <c r="Q329" s="51">
        <v>0</v>
      </c>
      <c r="R329" s="52">
        <v>0</v>
      </c>
      <c r="S329" s="52">
        <v>0</v>
      </c>
    </row>
    <row r="330" spans="1:19" s="137" customFormat="1" ht="94.5" customHeight="1">
      <c r="A330" s="127">
        <v>648</v>
      </c>
      <c r="B330" s="11" t="s">
        <v>680</v>
      </c>
      <c r="C330" s="130"/>
      <c r="D330" s="135" t="s">
        <v>171</v>
      </c>
      <c r="E330" s="130"/>
      <c r="F330" s="130"/>
      <c r="G330" s="130"/>
      <c r="H330" s="130" t="s">
        <v>1487</v>
      </c>
      <c r="I330" s="130" t="s">
        <v>1488</v>
      </c>
      <c r="J330" s="130" t="s">
        <v>1489</v>
      </c>
      <c r="K330" s="130" t="s">
        <v>1329</v>
      </c>
      <c r="L330" s="130" t="s">
        <v>194</v>
      </c>
      <c r="M330" s="130" t="s">
        <v>1327</v>
      </c>
      <c r="N330" s="51">
        <v>140</v>
      </c>
      <c r="O330" s="51">
        <v>140</v>
      </c>
      <c r="P330" s="51">
        <v>0</v>
      </c>
      <c r="Q330" s="51">
        <v>0</v>
      </c>
      <c r="R330" s="52">
        <v>0</v>
      </c>
      <c r="S330" s="52">
        <v>0</v>
      </c>
    </row>
    <row r="331" spans="1:19" s="137" customFormat="1" ht="71.25" customHeight="1">
      <c r="A331" s="199">
        <v>339</v>
      </c>
      <c r="B331" s="195" t="s">
        <v>681</v>
      </c>
      <c r="C331" s="130"/>
      <c r="D331" s="203" t="s">
        <v>148</v>
      </c>
      <c r="E331" s="191"/>
      <c r="F331" s="191"/>
      <c r="G331" s="191"/>
      <c r="H331" s="191"/>
      <c r="I331" s="191"/>
      <c r="J331" s="191"/>
      <c r="K331" s="132" t="s">
        <v>1330</v>
      </c>
      <c r="L331" s="132" t="s">
        <v>194</v>
      </c>
      <c r="M331" s="132" t="s">
        <v>1334</v>
      </c>
      <c r="N331" s="185">
        <v>140</v>
      </c>
      <c r="O331" s="185">
        <v>140</v>
      </c>
      <c r="P331" s="185">
        <v>0</v>
      </c>
      <c r="Q331" s="185">
        <v>0</v>
      </c>
      <c r="R331" s="188">
        <v>0</v>
      </c>
      <c r="S331" s="188">
        <v>0</v>
      </c>
    </row>
    <row r="332" spans="1:19" s="137" customFormat="1" ht="72" customHeight="1">
      <c r="A332" s="202"/>
      <c r="B332" s="198"/>
      <c r="C332" s="130"/>
      <c r="D332" s="206"/>
      <c r="E332" s="193"/>
      <c r="F332" s="193"/>
      <c r="G332" s="193"/>
      <c r="H332" s="193"/>
      <c r="I332" s="193"/>
      <c r="J332" s="193"/>
      <c r="K332" s="133" t="s">
        <v>1331</v>
      </c>
      <c r="L332" s="133" t="s">
        <v>194</v>
      </c>
      <c r="M332" s="133" t="s">
        <v>1334</v>
      </c>
      <c r="N332" s="187"/>
      <c r="O332" s="187"/>
      <c r="P332" s="187"/>
      <c r="Q332" s="187"/>
      <c r="R332" s="189"/>
      <c r="S332" s="189"/>
    </row>
    <row r="333" spans="1:19" s="137" customFormat="1" ht="94.5" customHeight="1">
      <c r="A333" s="127">
        <v>329</v>
      </c>
      <c r="B333" s="11" t="s">
        <v>663</v>
      </c>
      <c r="C333" s="130"/>
      <c r="D333" s="135" t="s">
        <v>143</v>
      </c>
      <c r="E333" s="130"/>
      <c r="F333" s="130"/>
      <c r="G333" s="130"/>
      <c r="H333" s="130" t="s">
        <v>1487</v>
      </c>
      <c r="I333" s="130" t="s">
        <v>1488</v>
      </c>
      <c r="J333" s="130" t="s">
        <v>1489</v>
      </c>
      <c r="K333" s="130" t="s">
        <v>1332</v>
      </c>
      <c r="L333" s="130" t="s">
        <v>194</v>
      </c>
      <c r="M333" s="130" t="s">
        <v>1327</v>
      </c>
      <c r="N333" s="51">
        <v>168.37</v>
      </c>
      <c r="O333" s="51">
        <v>168.37</v>
      </c>
      <c r="P333" s="51">
        <v>0</v>
      </c>
      <c r="Q333" s="51">
        <v>0</v>
      </c>
      <c r="R333" s="52">
        <v>0</v>
      </c>
      <c r="S333" s="52">
        <v>0</v>
      </c>
    </row>
    <row r="334" spans="1:19" s="137" customFormat="1" ht="94.5" customHeight="1">
      <c r="A334" s="127">
        <v>649</v>
      </c>
      <c r="B334" s="11" t="s">
        <v>683</v>
      </c>
      <c r="C334" s="130"/>
      <c r="D334" s="135" t="s">
        <v>171</v>
      </c>
      <c r="E334" s="130"/>
      <c r="F334" s="130"/>
      <c r="G334" s="130"/>
      <c r="H334" s="130" t="s">
        <v>1487</v>
      </c>
      <c r="I334" s="130" t="s">
        <v>1488</v>
      </c>
      <c r="J334" s="130" t="s">
        <v>1489</v>
      </c>
      <c r="K334" s="130" t="s">
        <v>1333</v>
      </c>
      <c r="L334" s="130" t="s">
        <v>194</v>
      </c>
      <c r="M334" s="130" t="s">
        <v>1327</v>
      </c>
      <c r="N334" s="51">
        <v>219.1825</v>
      </c>
      <c r="O334" s="51">
        <v>219.1825</v>
      </c>
      <c r="P334" s="51">
        <v>0</v>
      </c>
      <c r="Q334" s="51">
        <v>0</v>
      </c>
      <c r="R334" s="52">
        <v>0</v>
      </c>
      <c r="S334" s="52">
        <v>0</v>
      </c>
    </row>
    <row r="335" spans="1:19" s="137" customFormat="1" ht="70.5" customHeight="1">
      <c r="A335" s="127">
        <v>335</v>
      </c>
      <c r="B335" s="11" t="s">
        <v>684</v>
      </c>
      <c r="C335" s="130"/>
      <c r="D335" s="135" t="s">
        <v>142</v>
      </c>
      <c r="E335" s="130"/>
      <c r="F335" s="130"/>
      <c r="G335" s="130"/>
      <c r="H335" s="130"/>
      <c r="I335" s="130"/>
      <c r="J335" s="130"/>
      <c r="K335" s="130" t="s">
        <v>1335</v>
      </c>
      <c r="L335" s="130" t="s">
        <v>194</v>
      </c>
      <c r="M335" s="130" t="s">
        <v>1341</v>
      </c>
      <c r="N335" s="51">
        <v>430</v>
      </c>
      <c r="O335" s="51">
        <v>430</v>
      </c>
      <c r="P335" s="51">
        <v>0</v>
      </c>
      <c r="Q335" s="51">
        <v>0</v>
      </c>
      <c r="R335" s="52">
        <v>0</v>
      </c>
      <c r="S335" s="52">
        <v>0</v>
      </c>
    </row>
    <row r="336" spans="1:19" s="137" customFormat="1" ht="70.5" customHeight="1">
      <c r="A336" s="199">
        <v>34</v>
      </c>
      <c r="B336" s="195" t="s">
        <v>685</v>
      </c>
      <c r="C336" s="130"/>
      <c r="D336" s="203" t="s">
        <v>206</v>
      </c>
      <c r="E336" s="191"/>
      <c r="F336" s="191"/>
      <c r="G336" s="191"/>
      <c r="H336" s="191"/>
      <c r="I336" s="191"/>
      <c r="J336" s="191"/>
      <c r="K336" s="139" t="s">
        <v>1336</v>
      </c>
      <c r="L336" s="132" t="s">
        <v>194</v>
      </c>
      <c r="M336" s="132" t="s">
        <v>1342</v>
      </c>
      <c r="N336" s="185">
        <v>862.886</v>
      </c>
      <c r="O336" s="185">
        <v>559.368</v>
      </c>
      <c r="P336" s="185">
        <v>303.518</v>
      </c>
      <c r="Q336" s="185">
        <v>0</v>
      </c>
      <c r="R336" s="188">
        <v>0</v>
      </c>
      <c r="S336" s="188">
        <v>0</v>
      </c>
    </row>
    <row r="337" spans="1:19" s="137" customFormat="1" ht="70.5" customHeight="1">
      <c r="A337" s="200"/>
      <c r="B337" s="196"/>
      <c r="C337" s="130"/>
      <c r="D337" s="204"/>
      <c r="E337" s="192"/>
      <c r="F337" s="192"/>
      <c r="G337" s="192"/>
      <c r="H337" s="192"/>
      <c r="I337" s="192"/>
      <c r="J337" s="192"/>
      <c r="K337" s="142" t="s">
        <v>1338</v>
      </c>
      <c r="L337" s="138" t="s">
        <v>194</v>
      </c>
      <c r="M337" s="138" t="s">
        <v>1343</v>
      </c>
      <c r="N337" s="186"/>
      <c r="O337" s="186"/>
      <c r="P337" s="186"/>
      <c r="Q337" s="186"/>
      <c r="R337" s="190"/>
      <c r="S337" s="190"/>
    </row>
    <row r="338" spans="1:19" s="137" customFormat="1" ht="60.75" customHeight="1">
      <c r="A338" s="200"/>
      <c r="B338" s="196"/>
      <c r="C338" s="130"/>
      <c r="D338" s="206"/>
      <c r="E338" s="193"/>
      <c r="F338" s="193"/>
      <c r="G338" s="193"/>
      <c r="H338" s="193"/>
      <c r="I338" s="193"/>
      <c r="J338" s="193"/>
      <c r="K338" s="142" t="s">
        <v>1337</v>
      </c>
      <c r="L338" s="138" t="s">
        <v>194</v>
      </c>
      <c r="M338" s="138" t="s">
        <v>1344</v>
      </c>
      <c r="N338" s="186"/>
      <c r="O338" s="186"/>
      <c r="P338" s="186"/>
      <c r="Q338" s="186"/>
      <c r="R338" s="190"/>
      <c r="S338" s="190"/>
    </row>
    <row r="339" spans="1:19" s="137" customFormat="1" ht="70.5" customHeight="1">
      <c r="A339" s="127">
        <v>337</v>
      </c>
      <c r="B339" s="11" t="s">
        <v>686</v>
      </c>
      <c r="C339" s="130"/>
      <c r="D339" s="135" t="s">
        <v>1202</v>
      </c>
      <c r="E339" s="130"/>
      <c r="F339" s="130"/>
      <c r="G339" s="130"/>
      <c r="H339" s="130"/>
      <c r="I339" s="130"/>
      <c r="J339" s="130"/>
      <c r="K339" s="130" t="s">
        <v>1339</v>
      </c>
      <c r="L339" s="130" t="s">
        <v>194</v>
      </c>
      <c r="M339" s="130" t="s">
        <v>1345</v>
      </c>
      <c r="N339" s="51">
        <v>1000</v>
      </c>
      <c r="O339" s="51">
        <v>1000</v>
      </c>
      <c r="P339" s="51">
        <v>0</v>
      </c>
      <c r="Q339" s="51">
        <v>0</v>
      </c>
      <c r="R339" s="52">
        <v>0</v>
      </c>
      <c r="S339" s="52">
        <v>0</v>
      </c>
    </row>
    <row r="340" spans="1:19" s="137" customFormat="1" ht="96" customHeight="1">
      <c r="A340" s="127">
        <v>644</v>
      </c>
      <c r="B340" s="11" t="s">
        <v>687</v>
      </c>
      <c r="C340" s="130"/>
      <c r="D340" s="135" t="s">
        <v>1202</v>
      </c>
      <c r="E340" s="130"/>
      <c r="F340" s="130"/>
      <c r="G340" s="130"/>
      <c r="H340" s="130" t="s">
        <v>1487</v>
      </c>
      <c r="I340" s="130" t="s">
        <v>1488</v>
      </c>
      <c r="J340" s="130" t="s">
        <v>1489</v>
      </c>
      <c r="K340" s="130" t="s">
        <v>1340</v>
      </c>
      <c r="L340" s="130" t="s">
        <v>194</v>
      </c>
      <c r="M340" s="130" t="s">
        <v>1346</v>
      </c>
      <c r="N340" s="51">
        <v>1100</v>
      </c>
      <c r="O340" s="51">
        <v>1100</v>
      </c>
      <c r="P340" s="51">
        <v>0</v>
      </c>
      <c r="Q340" s="51">
        <v>0</v>
      </c>
      <c r="R340" s="52">
        <v>0</v>
      </c>
      <c r="S340" s="52">
        <v>0</v>
      </c>
    </row>
    <row r="341" spans="1:19" s="137" customFormat="1" ht="71.25" customHeight="1">
      <c r="A341" s="127">
        <v>34</v>
      </c>
      <c r="B341" s="11" t="s">
        <v>688</v>
      </c>
      <c r="C341" s="130"/>
      <c r="D341" s="135" t="s">
        <v>842</v>
      </c>
      <c r="E341" s="130"/>
      <c r="F341" s="130"/>
      <c r="G341" s="130"/>
      <c r="H341" s="130"/>
      <c r="I341" s="130"/>
      <c r="J341" s="130"/>
      <c r="K341" s="140" t="s">
        <v>1350</v>
      </c>
      <c r="L341" s="130" t="s">
        <v>245</v>
      </c>
      <c r="M341" s="130" t="s">
        <v>1351</v>
      </c>
      <c r="N341" s="51">
        <v>2030</v>
      </c>
      <c r="O341" s="51">
        <v>1373.20921</v>
      </c>
      <c r="P341" s="51">
        <v>656.79079</v>
      </c>
      <c r="Q341" s="51">
        <v>0</v>
      </c>
      <c r="R341" s="52">
        <v>0</v>
      </c>
      <c r="S341" s="52">
        <v>0</v>
      </c>
    </row>
    <row r="342" spans="1:19" s="137" customFormat="1" ht="72" customHeight="1">
      <c r="A342" s="127">
        <v>342</v>
      </c>
      <c r="B342" s="11" t="s">
        <v>723</v>
      </c>
      <c r="C342" s="130"/>
      <c r="D342" s="135" t="s">
        <v>1259</v>
      </c>
      <c r="E342" s="130"/>
      <c r="F342" s="130"/>
      <c r="G342" s="130"/>
      <c r="H342" s="130"/>
      <c r="I342" s="130"/>
      <c r="J342" s="130"/>
      <c r="K342" s="121" t="s">
        <v>1347</v>
      </c>
      <c r="L342" s="130" t="s">
        <v>245</v>
      </c>
      <c r="M342" s="130" t="s">
        <v>1352</v>
      </c>
      <c r="N342" s="51">
        <v>80</v>
      </c>
      <c r="O342" s="51">
        <v>60</v>
      </c>
      <c r="P342" s="51">
        <v>0</v>
      </c>
      <c r="Q342" s="51">
        <v>0</v>
      </c>
      <c r="R342" s="52">
        <v>0</v>
      </c>
      <c r="S342" s="52">
        <v>0</v>
      </c>
    </row>
    <row r="343" spans="1:19" s="137" customFormat="1" ht="59.25" customHeight="1">
      <c r="A343" s="127">
        <v>343</v>
      </c>
      <c r="B343" s="11" t="s">
        <v>721</v>
      </c>
      <c r="C343" s="130"/>
      <c r="D343" s="135" t="s">
        <v>15</v>
      </c>
      <c r="E343" s="130"/>
      <c r="F343" s="130"/>
      <c r="G343" s="130"/>
      <c r="H343" s="130"/>
      <c r="I343" s="130"/>
      <c r="J343" s="130"/>
      <c r="K343" s="322" t="s">
        <v>1348</v>
      </c>
      <c r="L343" s="130" t="s">
        <v>245</v>
      </c>
      <c r="M343" s="130" t="s">
        <v>1353</v>
      </c>
      <c r="N343" s="51">
        <v>409.624</v>
      </c>
      <c r="O343" s="51">
        <v>409.624</v>
      </c>
      <c r="P343" s="51">
        <v>0</v>
      </c>
      <c r="Q343" s="51">
        <v>0</v>
      </c>
      <c r="R343" s="52">
        <v>0</v>
      </c>
      <c r="S343" s="52">
        <v>0</v>
      </c>
    </row>
    <row r="344" spans="1:19" s="137" customFormat="1" ht="72.75" customHeight="1">
      <c r="A344" s="127">
        <v>666</v>
      </c>
      <c r="B344" s="11" t="s">
        <v>722</v>
      </c>
      <c r="C344" s="130"/>
      <c r="D344" s="135" t="s">
        <v>15</v>
      </c>
      <c r="E344" s="130"/>
      <c r="F344" s="130"/>
      <c r="G344" s="130"/>
      <c r="H344" s="130"/>
      <c r="I344" s="130"/>
      <c r="J344" s="130"/>
      <c r="K344" s="121" t="s">
        <v>1349</v>
      </c>
      <c r="L344" s="130" t="s">
        <v>245</v>
      </c>
      <c r="M344" s="130" t="s">
        <v>1354</v>
      </c>
      <c r="N344" s="51">
        <v>2800</v>
      </c>
      <c r="O344" s="51">
        <v>2800</v>
      </c>
      <c r="P344" s="51">
        <v>0</v>
      </c>
      <c r="Q344" s="51">
        <v>0</v>
      </c>
      <c r="R344" s="52">
        <v>0</v>
      </c>
      <c r="S344" s="52">
        <v>0</v>
      </c>
    </row>
    <row r="345" spans="1:19" s="137" customFormat="1" ht="49.5" customHeight="1">
      <c r="A345" s="127">
        <v>665</v>
      </c>
      <c r="B345" s="11" t="s">
        <v>724</v>
      </c>
      <c r="C345" s="130"/>
      <c r="D345" s="135" t="s">
        <v>15</v>
      </c>
      <c r="E345" s="130"/>
      <c r="F345" s="130"/>
      <c r="G345" s="130"/>
      <c r="H345" s="130"/>
      <c r="I345" s="130"/>
      <c r="J345" s="130"/>
      <c r="K345" s="322" t="s">
        <v>1355</v>
      </c>
      <c r="L345" s="130" t="s">
        <v>194</v>
      </c>
      <c r="M345" s="130" t="s">
        <v>1359</v>
      </c>
      <c r="N345" s="51">
        <v>8203.6</v>
      </c>
      <c r="O345" s="51">
        <v>8203.6</v>
      </c>
      <c r="P345" s="51">
        <v>0</v>
      </c>
      <c r="Q345" s="51">
        <v>0</v>
      </c>
      <c r="R345" s="52">
        <v>0</v>
      </c>
      <c r="S345" s="52">
        <v>0</v>
      </c>
    </row>
    <row r="346" spans="1:19" s="137" customFormat="1" ht="85.5" customHeight="1">
      <c r="A346" s="127">
        <v>340</v>
      </c>
      <c r="B346" s="11" t="s">
        <v>758</v>
      </c>
      <c r="C346" s="130"/>
      <c r="D346" s="135" t="s">
        <v>148</v>
      </c>
      <c r="E346" s="130"/>
      <c r="F346" s="130"/>
      <c r="G346" s="130"/>
      <c r="H346" s="130"/>
      <c r="I346" s="130"/>
      <c r="J346" s="130"/>
      <c r="K346" s="322" t="s">
        <v>1356</v>
      </c>
      <c r="L346" s="130" t="s">
        <v>194</v>
      </c>
      <c r="M346" s="130" t="s">
        <v>1360</v>
      </c>
      <c r="N346" s="51">
        <v>20</v>
      </c>
      <c r="O346" s="51">
        <v>20</v>
      </c>
      <c r="P346" s="51">
        <v>0</v>
      </c>
      <c r="Q346" s="51">
        <v>0</v>
      </c>
      <c r="R346" s="52">
        <v>0</v>
      </c>
      <c r="S346" s="52">
        <v>0</v>
      </c>
    </row>
    <row r="347" spans="1:19" s="137" customFormat="1" ht="78" customHeight="1">
      <c r="A347" s="127">
        <v>344</v>
      </c>
      <c r="B347" s="11" t="s">
        <v>759</v>
      </c>
      <c r="C347" s="130"/>
      <c r="D347" s="135" t="s">
        <v>199</v>
      </c>
      <c r="E347" s="130"/>
      <c r="F347" s="130"/>
      <c r="G347" s="130"/>
      <c r="H347" s="130"/>
      <c r="I347" s="130"/>
      <c r="J347" s="130"/>
      <c r="K347" s="322" t="s">
        <v>1357</v>
      </c>
      <c r="L347" s="130" t="s">
        <v>194</v>
      </c>
      <c r="M347" s="130" t="s">
        <v>1361</v>
      </c>
      <c r="N347" s="51">
        <v>30</v>
      </c>
      <c r="O347" s="51">
        <v>30</v>
      </c>
      <c r="P347" s="51">
        <v>0</v>
      </c>
      <c r="Q347" s="51">
        <v>0</v>
      </c>
      <c r="R347" s="52">
        <v>0</v>
      </c>
      <c r="S347" s="52">
        <v>0</v>
      </c>
    </row>
    <row r="348" spans="1:19" s="137" customFormat="1" ht="93" customHeight="1">
      <c r="A348" s="127">
        <v>347</v>
      </c>
      <c r="B348" s="11" t="s">
        <v>760</v>
      </c>
      <c r="C348" s="130"/>
      <c r="D348" s="135" t="s">
        <v>143</v>
      </c>
      <c r="E348" s="130"/>
      <c r="F348" s="130"/>
      <c r="G348" s="130"/>
      <c r="H348" s="130"/>
      <c r="I348" s="130"/>
      <c r="J348" s="130"/>
      <c r="K348" s="322" t="s">
        <v>1358</v>
      </c>
      <c r="L348" s="130" t="s">
        <v>194</v>
      </c>
      <c r="M348" s="130" t="s">
        <v>1361</v>
      </c>
      <c r="N348" s="51">
        <v>35</v>
      </c>
      <c r="O348" s="51">
        <v>35</v>
      </c>
      <c r="P348" s="51">
        <v>0</v>
      </c>
      <c r="Q348" s="51">
        <v>0</v>
      </c>
      <c r="R348" s="52">
        <v>0</v>
      </c>
      <c r="S348" s="52">
        <v>0</v>
      </c>
    </row>
    <row r="349" spans="1:19" s="137" customFormat="1" ht="90.75" customHeight="1">
      <c r="A349" s="127">
        <v>646</v>
      </c>
      <c r="B349" s="11" t="s">
        <v>682</v>
      </c>
      <c r="C349" s="130"/>
      <c r="D349" s="135" t="s">
        <v>171</v>
      </c>
      <c r="E349" s="130"/>
      <c r="F349" s="130"/>
      <c r="G349" s="130"/>
      <c r="H349" s="130" t="s">
        <v>1487</v>
      </c>
      <c r="I349" s="130" t="s">
        <v>1488</v>
      </c>
      <c r="J349" s="130" t="s">
        <v>1489</v>
      </c>
      <c r="K349" s="322" t="s">
        <v>1362</v>
      </c>
      <c r="L349" s="130" t="s">
        <v>194</v>
      </c>
      <c r="M349" s="130" t="s">
        <v>1365</v>
      </c>
      <c r="N349" s="51">
        <v>35</v>
      </c>
      <c r="O349" s="51">
        <v>35</v>
      </c>
      <c r="P349" s="51">
        <v>0</v>
      </c>
      <c r="Q349" s="51">
        <v>0</v>
      </c>
      <c r="R349" s="52">
        <v>0</v>
      </c>
      <c r="S349" s="52">
        <v>0</v>
      </c>
    </row>
    <row r="350" spans="1:19" s="137" customFormat="1" ht="99.75" customHeight="1">
      <c r="A350" s="127">
        <v>34</v>
      </c>
      <c r="B350" s="11" t="s">
        <v>762</v>
      </c>
      <c r="C350" s="130"/>
      <c r="D350" s="135" t="s">
        <v>305</v>
      </c>
      <c r="E350" s="130"/>
      <c r="F350" s="130"/>
      <c r="G350" s="130"/>
      <c r="H350" s="130" t="s">
        <v>1487</v>
      </c>
      <c r="I350" s="130" t="s">
        <v>1488</v>
      </c>
      <c r="J350" s="130" t="s">
        <v>1489</v>
      </c>
      <c r="K350" s="322" t="s">
        <v>1363</v>
      </c>
      <c r="L350" s="130" t="s">
        <v>194</v>
      </c>
      <c r="M350" s="130" t="s">
        <v>1366</v>
      </c>
      <c r="N350" s="51">
        <v>37.7</v>
      </c>
      <c r="O350" s="51">
        <v>0</v>
      </c>
      <c r="P350" s="51">
        <v>37.7</v>
      </c>
      <c r="Q350" s="51">
        <v>0</v>
      </c>
      <c r="R350" s="52">
        <v>0</v>
      </c>
      <c r="S350" s="52">
        <v>0</v>
      </c>
    </row>
    <row r="351" spans="1:19" s="137" customFormat="1" ht="75.75" customHeight="1">
      <c r="A351" s="127">
        <v>345</v>
      </c>
      <c r="B351" s="11" t="s">
        <v>763</v>
      </c>
      <c r="C351" s="130"/>
      <c r="D351" s="135" t="s">
        <v>171</v>
      </c>
      <c r="E351" s="130"/>
      <c r="F351" s="130"/>
      <c r="G351" s="130"/>
      <c r="H351" s="130"/>
      <c r="I351" s="130"/>
      <c r="J351" s="130"/>
      <c r="K351" s="121" t="s">
        <v>1364</v>
      </c>
      <c r="L351" s="130" t="s">
        <v>194</v>
      </c>
      <c r="M351" s="130" t="s">
        <v>1361</v>
      </c>
      <c r="N351" s="51">
        <v>72</v>
      </c>
      <c r="O351" s="51">
        <v>72</v>
      </c>
      <c r="P351" s="51">
        <v>0</v>
      </c>
      <c r="Q351" s="51">
        <v>0</v>
      </c>
      <c r="R351" s="52">
        <v>0</v>
      </c>
      <c r="S351" s="52">
        <v>0</v>
      </c>
    </row>
    <row r="352" spans="1:19" s="137" customFormat="1" ht="97.5" customHeight="1">
      <c r="A352" s="127">
        <v>34</v>
      </c>
      <c r="B352" s="11" t="s">
        <v>764</v>
      </c>
      <c r="C352" s="130"/>
      <c r="D352" s="135" t="s">
        <v>15</v>
      </c>
      <c r="E352" s="130"/>
      <c r="F352" s="130"/>
      <c r="G352" s="130"/>
      <c r="H352" s="130" t="s">
        <v>1487</v>
      </c>
      <c r="I352" s="130" t="s">
        <v>1488</v>
      </c>
      <c r="J352" s="130" t="s">
        <v>1489</v>
      </c>
      <c r="K352" s="322" t="s">
        <v>1363</v>
      </c>
      <c r="L352" s="130" t="s">
        <v>194</v>
      </c>
      <c r="M352" s="130" t="s">
        <v>1366</v>
      </c>
      <c r="N352" s="51">
        <v>74.444</v>
      </c>
      <c r="O352" s="51">
        <v>0</v>
      </c>
      <c r="P352" s="51">
        <v>74.444</v>
      </c>
      <c r="Q352" s="51">
        <v>0</v>
      </c>
      <c r="R352" s="52">
        <v>0</v>
      </c>
      <c r="S352" s="52">
        <v>0</v>
      </c>
    </row>
    <row r="353" spans="1:19" s="137" customFormat="1" ht="99" customHeight="1">
      <c r="A353" s="127">
        <v>663</v>
      </c>
      <c r="B353" s="11" t="s">
        <v>765</v>
      </c>
      <c r="C353" s="130"/>
      <c r="D353" s="135" t="s">
        <v>305</v>
      </c>
      <c r="E353" s="130"/>
      <c r="F353" s="130"/>
      <c r="G353" s="130"/>
      <c r="H353" s="130" t="s">
        <v>1487</v>
      </c>
      <c r="I353" s="130" t="s">
        <v>1488</v>
      </c>
      <c r="J353" s="130" t="s">
        <v>1489</v>
      </c>
      <c r="K353" s="30" t="s">
        <v>1367</v>
      </c>
      <c r="L353" s="130" t="s">
        <v>245</v>
      </c>
      <c r="M353" s="130" t="s">
        <v>1371</v>
      </c>
      <c r="N353" s="51">
        <v>78.85</v>
      </c>
      <c r="O353" s="51">
        <v>78.85</v>
      </c>
      <c r="P353" s="51">
        <v>0</v>
      </c>
      <c r="Q353" s="51">
        <v>0</v>
      </c>
      <c r="R353" s="52">
        <v>0</v>
      </c>
      <c r="S353" s="52">
        <v>0</v>
      </c>
    </row>
    <row r="354" spans="1:19" s="137" customFormat="1" ht="98.25" customHeight="1">
      <c r="A354" s="127">
        <v>675</v>
      </c>
      <c r="B354" s="11" t="s">
        <v>766</v>
      </c>
      <c r="C354" s="130"/>
      <c r="D354" s="135" t="s">
        <v>1202</v>
      </c>
      <c r="E354" s="130"/>
      <c r="F354" s="130"/>
      <c r="G354" s="130"/>
      <c r="H354" s="130" t="s">
        <v>1487</v>
      </c>
      <c r="I354" s="130" t="s">
        <v>1488</v>
      </c>
      <c r="J354" s="130" t="s">
        <v>1489</v>
      </c>
      <c r="K354" s="121" t="s">
        <v>1368</v>
      </c>
      <c r="L354" s="130" t="s">
        <v>245</v>
      </c>
      <c r="M354" s="130" t="s">
        <v>1372</v>
      </c>
      <c r="N354" s="51">
        <v>80</v>
      </c>
      <c r="O354" s="51">
        <v>80</v>
      </c>
      <c r="P354" s="51">
        <v>0</v>
      </c>
      <c r="Q354" s="51">
        <v>0</v>
      </c>
      <c r="R354" s="52">
        <v>0</v>
      </c>
      <c r="S354" s="52">
        <v>0</v>
      </c>
    </row>
    <row r="355" spans="1:19" s="137" customFormat="1" ht="99.75" customHeight="1">
      <c r="A355" s="127">
        <v>677</v>
      </c>
      <c r="B355" s="11" t="s">
        <v>767</v>
      </c>
      <c r="C355" s="130"/>
      <c r="D355" s="135" t="s">
        <v>171</v>
      </c>
      <c r="E355" s="130"/>
      <c r="F355" s="130"/>
      <c r="G355" s="130"/>
      <c r="H355" s="130" t="s">
        <v>1487</v>
      </c>
      <c r="I355" s="130" t="s">
        <v>1488</v>
      </c>
      <c r="J355" s="130" t="s">
        <v>1489</v>
      </c>
      <c r="K355" s="121" t="s">
        <v>1369</v>
      </c>
      <c r="L355" s="130" t="s">
        <v>245</v>
      </c>
      <c r="M355" s="130" t="s">
        <v>1373</v>
      </c>
      <c r="N355" s="51">
        <v>92.428</v>
      </c>
      <c r="O355" s="51">
        <v>92.428</v>
      </c>
      <c r="P355" s="51">
        <v>0</v>
      </c>
      <c r="Q355" s="51">
        <v>0</v>
      </c>
      <c r="R355" s="52">
        <v>0</v>
      </c>
      <c r="S355" s="52">
        <v>0</v>
      </c>
    </row>
    <row r="356" spans="1:19" s="137" customFormat="1" ht="99.75" customHeight="1">
      <c r="A356" s="127">
        <v>349</v>
      </c>
      <c r="B356" s="11" t="s">
        <v>768</v>
      </c>
      <c r="C356" s="130"/>
      <c r="D356" s="135" t="s">
        <v>143</v>
      </c>
      <c r="E356" s="130"/>
      <c r="F356" s="130"/>
      <c r="G356" s="130"/>
      <c r="H356" s="130"/>
      <c r="I356" s="130"/>
      <c r="J356" s="130"/>
      <c r="K356" s="140" t="s">
        <v>1370</v>
      </c>
      <c r="L356" s="130" t="s">
        <v>245</v>
      </c>
      <c r="M356" s="130" t="s">
        <v>1361</v>
      </c>
      <c r="N356" s="51">
        <v>159.865</v>
      </c>
      <c r="O356" s="51">
        <v>159.865</v>
      </c>
      <c r="P356" s="51">
        <v>0</v>
      </c>
      <c r="Q356" s="51">
        <v>0</v>
      </c>
      <c r="R356" s="52">
        <v>0</v>
      </c>
      <c r="S356" s="52">
        <v>0</v>
      </c>
    </row>
    <row r="357" spans="1:19" s="137" customFormat="1" ht="161.25" customHeight="1">
      <c r="A357" s="127">
        <v>679</v>
      </c>
      <c r="B357" s="11" t="s">
        <v>769</v>
      </c>
      <c r="C357" s="130"/>
      <c r="D357" s="135" t="s">
        <v>305</v>
      </c>
      <c r="E357" s="130"/>
      <c r="F357" s="130"/>
      <c r="G357" s="130"/>
      <c r="H357" s="130" t="s">
        <v>1495</v>
      </c>
      <c r="I357" s="130" t="s">
        <v>1496</v>
      </c>
      <c r="J357" s="130" t="s">
        <v>1492</v>
      </c>
      <c r="K357" s="322" t="s">
        <v>1374</v>
      </c>
      <c r="L357" s="130" t="s">
        <v>245</v>
      </c>
      <c r="M357" s="130" t="s">
        <v>1378</v>
      </c>
      <c r="N357" s="51">
        <v>600</v>
      </c>
      <c r="O357" s="51">
        <v>600</v>
      </c>
      <c r="P357" s="51">
        <v>0</v>
      </c>
      <c r="Q357" s="51">
        <v>0</v>
      </c>
      <c r="R357" s="52">
        <v>0</v>
      </c>
      <c r="S357" s="52">
        <v>0</v>
      </c>
    </row>
    <row r="358" spans="1:19" s="137" customFormat="1" ht="100.5" customHeight="1">
      <c r="A358" s="127">
        <v>674</v>
      </c>
      <c r="B358" s="11" t="s">
        <v>770</v>
      </c>
      <c r="C358" s="130"/>
      <c r="D358" s="135" t="s">
        <v>143</v>
      </c>
      <c r="E358" s="130"/>
      <c r="F358" s="130"/>
      <c r="G358" s="130"/>
      <c r="H358" s="130" t="s">
        <v>1487</v>
      </c>
      <c r="I358" s="130" t="s">
        <v>1488</v>
      </c>
      <c r="J358" s="130" t="s">
        <v>1489</v>
      </c>
      <c r="K358" s="322" t="s">
        <v>1375</v>
      </c>
      <c r="L358" s="130" t="s">
        <v>245</v>
      </c>
      <c r="M358" s="130" t="s">
        <v>1379</v>
      </c>
      <c r="N358" s="51">
        <v>800</v>
      </c>
      <c r="O358" s="51">
        <v>800</v>
      </c>
      <c r="P358" s="51">
        <v>0</v>
      </c>
      <c r="Q358" s="51">
        <v>0</v>
      </c>
      <c r="R358" s="52">
        <v>0</v>
      </c>
      <c r="S358" s="52">
        <v>0</v>
      </c>
    </row>
    <row r="359" spans="1:19" s="137" customFormat="1" ht="87" customHeight="1">
      <c r="A359" s="127">
        <v>346</v>
      </c>
      <c r="B359" s="11" t="s">
        <v>771</v>
      </c>
      <c r="C359" s="130"/>
      <c r="D359" s="135" t="s">
        <v>171</v>
      </c>
      <c r="E359" s="130"/>
      <c r="F359" s="130"/>
      <c r="G359" s="130"/>
      <c r="H359" s="130"/>
      <c r="I359" s="130"/>
      <c r="J359" s="130"/>
      <c r="K359" s="323" t="s">
        <v>1376</v>
      </c>
      <c r="L359" s="130" t="s">
        <v>245</v>
      </c>
      <c r="M359" s="130" t="s">
        <v>1380</v>
      </c>
      <c r="N359" s="51">
        <v>424.98</v>
      </c>
      <c r="O359" s="51">
        <v>424.98</v>
      </c>
      <c r="P359" s="51">
        <v>0</v>
      </c>
      <c r="Q359" s="51">
        <v>0</v>
      </c>
      <c r="R359" s="52">
        <v>0</v>
      </c>
      <c r="S359" s="52">
        <v>0</v>
      </c>
    </row>
    <row r="360" spans="1:19" s="137" customFormat="1" ht="113.25" customHeight="1">
      <c r="A360" s="127">
        <v>680</v>
      </c>
      <c r="B360" s="11" t="s">
        <v>772</v>
      </c>
      <c r="C360" s="130"/>
      <c r="D360" s="135" t="s">
        <v>296</v>
      </c>
      <c r="E360" s="130"/>
      <c r="F360" s="130"/>
      <c r="G360" s="130"/>
      <c r="H360" s="130" t="s">
        <v>1487</v>
      </c>
      <c r="I360" s="130" t="s">
        <v>1488</v>
      </c>
      <c r="J360" s="130" t="s">
        <v>1489</v>
      </c>
      <c r="K360" s="322" t="s">
        <v>1377</v>
      </c>
      <c r="L360" s="130" t="s">
        <v>245</v>
      </c>
      <c r="M360" s="130" t="s">
        <v>1381</v>
      </c>
      <c r="N360" s="51">
        <v>1000</v>
      </c>
      <c r="O360" s="51">
        <v>1000</v>
      </c>
      <c r="P360" s="51">
        <v>0</v>
      </c>
      <c r="Q360" s="51">
        <v>0</v>
      </c>
      <c r="R360" s="52">
        <v>0</v>
      </c>
      <c r="S360" s="52">
        <v>0</v>
      </c>
    </row>
    <row r="361" spans="1:19" s="137" customFormat="1" ht="121.5" customHeight="1">
      <c r="A361" s="127">
        <v>678</v>
      </c>
      <c r="B361" s="11" t="s">
        <v>773</v>
      </c>
      <c r="C361" s="130"/>
      <c r="D361" s="135" t="s">
        <v>143</v>
      </c>
      <c r="E361" s="130"/>
      <c r="F361" s="130"/>
      <c r="G361" s="130"/>
      <c r="H361" s="130"/>
      <c r="I361" s="130"/>
      <c r="J361" s="130"/>
      <c r="K361" s="121" t="s">
        <v>1382</v>
      </c>
      <c r="L361" s="130" t="s">
        <v>194</v>
      </c>
      <c r="M361" s="130" t="s">
        <v>1386</v>
      </c>
      <c r="N361" s="51">
        <v>1450</v>
      </c>
      <c r="O361" s="51">
        <v>1220.36958</v>
      </c>
      <c r="P361" s="51">
        <v>0</v>
      </c>
      <c r="Q361" s="51">
        <v>0</v>
      </c>
      <c r="R361" s="52">
        <v>0</v>
      </c>
      <c r="S361" s="52">
        <v>0</v>
      </c>
    </row>
    <row r="362" spans="1:19" s="137" customFormat="1" ht="100.5" customHeight="1">
      <c r="A362" s="127">
        <v>672</v>
      </c>
      <c r="B362" s="11" t="s">
        <v>774</v>
      </c>
      <c r="C362" s="130"/>
      <c r="D362" s="135" t="s">
        <v>143</v>
      </c>
      <c r="E362" s="130"/>
      <c r="F362" s="130"/>
      <c r="G362" s="130"/>
      <c r="H362" s="130"/>
      <c r="I362" s="130"/>
      <c r="J362" s="130"/>
      <c r="K362" s="324" t="s">
        <v>1383</v>
      </c>
      <c r="L362" s="130" t="s">
        <v>194</v>
      </c>
      <c r="M362" s="130" t="s">
        <v>1388</v>
      </c>
      <c r="N362" s="51">
        <v>28200</v>
      </c>
      <c r="O362" s="51">
        <v>28195</v>
      </c>
      <c r="P362" s="51">
        <v>0</v>
      </c>
      <c r="Q362" s="51">
        <v>0</v>
      </c>
      <c r="R362" s="52">
        <v>0</v>
      </c>
      <c r="S362" s="52">
        <v>0</v>
      </c>
    </row>
    <row r="363" spans="1:19" s="137" customFormat="1" ht="81" customHeight="1">
      <c r="A363" s="127">
        <v>354</v>
      </c>
      <c r="B363" s="81" t="s">
        <v>782</v>
      </c>
      <c r="C363" s="130"/>
      <c r="D363" s="135" t="s">
        <v>15</v>
      </c>
      <c r="E363" s="130"/>
      <c r="F363" s="130"/>
      <c r="G363" s="130"/>
      <c r="H363" s="130"/>
      <c r="I363" s="130"/>
      <c r="J363" s="130"/>
      <c r="K363" s="322" t="s">
        <v>1384</v>
      </c>
      <c r="L363" s="130" t="s">
        <v>194</v>
      </c>
      <c r="M363" s="130" t="s">
        <v>1387</v>
      </c>
      <c r="N363" s="51">
        <v>7.5</v>
      </c>
      <c r="O363" s="51">
        <v>7.5</v>
      </c>
      <c r="P363" s="51">
        <v>0</v>
      </c>
      <c r="Q363" s="51">
        <v>0</v>
      </c>
      <c r="R363" s="52">
        <v>0</v>
      </c>
      <c r="S363" s="52">
        <v>0</v>
      </c>
    </row>
    <row r="364" spans="1:19" s="137" customFormat="1" ht="79.5" customHeight="1">
      <c r="A364" s="127">
        <v>353</v>
      </c>
      <c r="B364" s="81" t="s">
        <v>783</v>
      </c>
      <c r="C364" s="130"/>
      <c r="D364" s="135" t="s">
        <v>199</v>
      </c>
      <c r="E364" s="130"/>
      <c r="F364" s="130"/>
      <c r="G364" s="130"/>
      <c r="H364" s="130"/>
      <c r="I364" s="130"/>
      <c r="J364" s="130"/>
      <c r="K364" s="322" t="s">
        <v>1385</v>
      </c>
      <c r="L364" s="130" t="s">
        <v>194</v>
      </c>
      <c r="M364" s="130" t="s">
        <v>1387</v>
      </c>
      <c r="N364" s="51">
        <v>25</v>
      </c>
      <c r="O364" s="51">
        <v>25</v>
      </c>
      <c r="P364" s="51">
        <v>0</v>
      </c>
      <c r="Q364" s="51">
        <v>0</v>
      </c>
      <c r="R364" s="52">
        <v>0</v>
      </c>
      <c r="S364" s="52">
        <v>0</v>
      </c>
    </row>
    <row r="365" spans="1:19" s="137" customFormat="1" ht="90" customHeight="1">
      <c r="A365" s="127">
        <v>348</v>
      </c>
      <c r="B365" s="11" t="s">
        <v>761</v>
      </c>
      <c r="C365" s="130"/>
      <c r="D365" s="135" t="s">
        <v>171</v>
      </c>
      <c r="E365" s="130"/>
      <c r="F365" s="130"/>
      <c r="G365" s="130"/>
      <c r="H365" s="130"/>
      <c r="I365" s="130"/>
      <c r="J365" s="130"/>
      <c r="K365" s="322" t="s">
        <v>1389</v>
      </c>
      <c r="L365" s="130" t="s">
        <v>194</v>
      </c>
      <c r="M365" s="130" t="s">
        <v>1400</v>
      </c>
      <c r="N365" s="51">
        <v>1132.77054</v>
      </c>
      <c r="O365" s="51">
        <v>0</v>
      </c>
      <c r="P365" s="51">
        <v>1132.77054</v>
      </c>
      <c r="Q365" s="51">
        <v>0</v>
      </c>
      <c r="R365" s="52">
        <v>0</v>
      </c>
      <c r="S365" s="52">
        <v>0</v>
      </c>
    </row>
    <row r="366" spans="1:19" s="137" customFormat="1" ht="132.75" customHeight="1">
      <c r="A366" s="127">
        <v>34</v>
      </c>
      <c r="B366" s="81" t="s">
        <v>784</v>
      </c>
      <c r="C366" s="130"/>
      <c r="D366" s="135" t="s">
        <v>143</v>
      </c>
      <c r="E366" s="130"/>
      <c r="F366" s="130"/>
      <c r="G366" s="130"/>
      <c r="H366" s="130"/>
      <c r="I366" s="130"/>
      <c r="J366" s="130"/>
      <c r="K366" s="322" t="s">
        <v>1391</v>
      </c>
      <c r="L366" s="130" t="s">
        <v>194</v>
      </c>
      <c r="M366" s="130" t="s">
        <v>1399</v>
      </c>
      <c r="N366" s="51">
        <v>29110.74</v>
      </c>
      <c r="O366" s="51">
        <v>18753.7318</v>
      </c>
      <c r="P366" s="51">
        <v>10357.0082</v>
      </c>
      <c r="Q366" s="51">
        <v>0</v>
      </c>
      <c r="R366" s="52">
        <v>0</v>
      </c>
      <c r="S366" s="52">
        <v>0</v>
      </c>
    </row>
    <row r="367" spans="1:19" s="137" customFormat="1" ht="91.5" customHeight="1">
      <c r="A367" s="127">
        <v>34</v>
      </c>
      <c r="B367" s="81" t="s">
        <v>786</v>
      </c>
      <c r="C367" s="130"/>
      <c r="D367" s="135" t="s">
        <v>143</v>
      </c>
      <c r="E367" s="130"/>
      <c r="F367" s="130"/>
      <c r="G367" s="130"/>
      <c r="H367" s="130"/>
      <c r="I367" s="130"/>
      <c r="J367" s="130"/>
      <c r="K367" s="322" t="s">
        <v>1392</v>
      </c>
      <c r="L367" s="130" t="s">
        <v>194</v>
      </c>
      <c r="M367" s="130" t="s">
        <v>1399</v>
      </c>
      <c r="N367" s="51">
        <v>1600</v>
      </c>
      <c r="O367" s="51">
        <v>0</v>
      </c>
      <c r="P367" s="51">
        <v>1600</v>
      </c>
      <c r="Q367" s="51">
        <v>0</v>
      </c>
      <c r="R367" s="52">
        <v>0</v>
      </c>
      <c r="S367" s="52">
        <v>0</v>
      </c>
    </row>
    <row r="368" spans="1:19" s="137" customFormat="1" ht="61.5" customHeight="1">
      <c r="A368" s="127">
        <v>352</v>
      </c>
      <c r="B368" s="81" t="s">
        <v>806</v>
      </c>
      <c r="C368" s="130"/>
      <c r="D368" s="135" t="s">
        <v>171</v>
      </c>
      <c r="E368" s="130"/>
      <c r="F368" s="130"/>
      <c r="G368" s="130"/>
      <c r="H368" s="130"/>
      <c r="I368" s="130"/>
      <c r="J368" s="130"/>
      <c r="K368" s="121" t="s">
        <v>1393</v>
      </c>
      <c r="L368" s="130" t="s">
        <v>194</v>
      </c>
      <c r="M368" s="130" t="s">
        <v>1398</v>
      </c>
      <c r="N368" s="51">
        <v>99</v>
      </c>
      <c r="O368" s="51">
        <v>99</v>
      </c>
      <c r="P368" s="51">
        <v>0</v>
      </c>
      <c r="Q368" s="51">
        <v>0</v>
      </c>
      <c r="R368" s="52">
        <v>0</v>
      </c>
      <c r="S368" s="52">
        <v>0</v>
      </c>
    </row>
    <row r="369" spans="1:19" s="137" customFormat="1" ht="126.75" customHeight="1">
      <c r="A369" s="127">
        <v>600</v>
      </c>
      <c r="B369" s="80" t="s">
        <v>801</v>
      </c>
      <c r="C369" s="130"/>
      <c r="D369" s="135" t="s">
        <v>247</v>
      </c>
      <c r="E369" s="130"/>
      <c r="F369" s="130"/>
      <c r="G369" s="130"/>
      <c r="H369" s="130"/>
      <c r="I369" s="130"/>
      <c r="J369" s="130"/>
      <c r="K369" s="121" t="s">
        <v>1394</v>
      </c>
      <c r="L369" s="130" t="s">
        <v>194</v>
      </c>
      <c r="M369" s="130" t="s">
        <v>1397</v>
      </c>
      <c r="N369" s="51">
        <v>0</v>
      </c>
      <c r="O369" s="51">
        <v>0</v>
      </c>
      <c r="P369" s="51">
        <v>47000</v>
      </c>
      <c r="Q369" s="51">
        <v>0</v>
      </c>
      <c r="R369" s="52">
        <v>0</v>
      </c>
      <c r="S369" s="52">
        <v>0</v>
      </c>
    </row>
    <row r="370" spans="1:19" s="137" customFormat="1" ht="41.25" customHeight="1">
      <c r="A370" s="127">
        <v>0</v>
      </c>
      <c r="B370" s="11" t="s">
        <v>669</v>
      </c>
      <c r="C370" s="130"/>
      <c r="D370" s="135" t="s">
        <v>1315</v>
      </c>
      <c r="E370" s="130"/>
      <c r="F370" s="130"/>
      <c r="G370" s="130"/>
      <c r="H370" s="130"/>
      <c r="I370" s="130"/>
      <c r="J370" s="130"/>
      <c r="K370" s="121" t="s">
        <v>933</v>
      </c>
      <c r="L370" s="130"/>
      <c r="M370" s="130" t="s">
        <v>817</v>
      </c>
      <c r="N370" s="51">
        <v>16174.6</v>
      </c>
      <c r="O370" s="51">
        <v>16174.6</v>
      </c>
      <c r="P370" s="51">
        <v>26179.4</v>
      </c>
      <c r="Q370" s="51">
        <v>41509.2</v>
      </c>
      <c r="R370" s="52">
        <v>43667.7</v>
      </c>
      <c r="S370" s="52">
        <v>45807.4</v>
      </c>
    </row>
    <row r="371" spans="1:19" s="137" customFormat="1" ht="60.75" customHeight="1">
      <c r="A371" s="127">
        <v>303</v>
      </c>
      <c r="B371" s="11" t="s">
        <v>849</v>
      </c>
      <c r="C371" s="130"/>
      <c r="D371" s="135" t="s">
        <v>143</v>
      </c>
      <c r="E371" s="130"/>
      <c r="F371" s="130"/>
      <c r="G371" s="130"/>
      <c r="H371" s="130"/>
      <c r="I371" s="130"/>
      <c r="J371" s="130"/>
      <c r="K371" s="121" t="s">
        <v>1395</v>
      </c>
      <c r="L371" s="130" t="s">
        <v>194</v>
      </c>
      <c r="M371" s="130" t="s">
        <v>1396</v>
      </c>
      <c r="N371" s="51">
        <v>0</v>
      </c>
      <c r="O371" s="51">
        <v>0</v>
      </c>
      <c r="P371" s="51">
        <v>58.868</v>
      </c>
      <c r="Q371" s="51">
        <v>0</v>
      </c>
      <c r="R371" s="52">
        <v>0</v>
      </c>
      <c r="S371" s="52">
        <v>0</v>
      </c>
    </row>
    <row r="372" spans="1:19" s="137" customFormat="1" ht="63.75" customHeight="1">
      <c r="A372" s="127">
        <v>304</v>
      </c>
      <c r="B372" s="11" t="s">
        <v>850</v>
      </c>
      <c r="C372" s="130"/>
      <c r="D372" s="135" t="s">
        <v>1202</v>
      </c>
      <c r="E372" s="130"/>
      <c r="F372" s="130"/>
      <c r="G372" s="130"/>
      <c r="H372" s="130"/>
      <c r="I372" s="130"/>
      <c r="J372" s="130"/>
      <c r="K372" s="121" t="s">
        <v>1401</v>
      </c>
      <c r="L372" s="130" t="s">
        <v>194</v>
      </c>
      <c r="M372" s="130" t="s">
        <v>1396</v>
      </c>
      <c r="N372" s="51">
        <v>0</v>
      </c>
      <c r="O372" s="51">
        <v>0</v>
      </c>
      <c r="P372" s="51">
        <v>2070</v>
      </c>
      <c r="Q372" s="51">
        <v>0</v>
      </c>
      <c r="R372" s="52">
        <v>0</v>
      </c>
      <c r="S372" s="52">
        <v>0</v>
      </c>
    </row>
    <row r="373" spans="1:19" s="137" customFormat="1" ht="63.75" customHeight="1">
      <c r="A373" s="127">
        <v>305</v>
      </c>
      <c r="B373" s="11" t="s">
        <v>851</v>
      </c>
      <c r="C373" s="130"/>
      <c r="D373" s="135" t="s">
        <v>143</v>
      </c>
      <c r="E373" s="130"/>
      <c r="F373" s="130"/>
      <c r="G373" s="130"/>
      <c r="H373" s="130"/>
      <c r="I373" s="130"/>
      <c r="J373" s="130"/>
      <c r="K373" s="121" t="s">
        <v>1402</v>
      </c>
      <c r="L373" s="130" t="s">
        <v>194</v>
      </c>
      <c r="M373" s="130" t="s">
        <v>1396</v>
      </c>
      <c r="N373" s="51">
        <v>0</v>
      </c>
      <c r="O373" s="51">
        <v>0</v>
      </c>
      <c r="P373" s="51">
        <v>2350</v>
      </c>
      <c r="Q373" s="51">
        <v>0</v>
      </c>
      <c r="R373" s="52">
        <v>0</v>
      </c>
      <c r="S373" s="52">
        <v>0</v>
      </c>
    </row>
    <row r="374" spans="1:19" s="137" customFormat="1" ht="74.25" customHeight="1">
      <c r="A374" s="127">
        <v>306</v>
      </c>
      <c r="B374" s="11" t="s">
        <v>852</v>
      </c>
      <c r="C374" s="130"/>
      <c r="D374" s="135" t="s">
        <v>15</v>
      </c>
      <c r="E374" s="130"/>
      <c r="F374" s="130"/>
      <c r="G374" s="130"/>
      <c r="H374" s="130"/>
      <c r="I374" s="130"/>
      <c r="J374" s="130"/>
      <c r="K374" s="121" t="s">
        <v>1403</v>
      </c>
      <c r="L374" s="130" t="s">
        <v>194</v>
      </c>
      <c r="M374" s="130" t="s">
        <v>1396</v>
      </c>
      <c r="N374" s="51">
        <v>0</v>
      </c>
      <c r="O374" s="51">
        <v>0</v>
      </c>
      <c r="P374" s="51">
        <v>600</v>
      </c>
      <c r="Q374" s="51">
        <v>0</v>
      </c>
      <c r="R374" s="52">
        <v>0</v>
      </c>
      <c r="S374" s="52">
        <v>0</v>
      </c>
    </row>
    <row r="375" spans="1:19" s="137" customFormat="1" ht="73.5" customHeight="1">
      <c r="A375" s="127">
        <v>307</v>
      </c>
      <c r="B375" s="11" t="s">
        <v>853</v>
      </c>
      <c r="C375" s="130"/>
      <c r="D375" s="135" t="s">
        <v>143</v>
      </c>
      <c r="E375" s="130"/>
      <c r="F375" s="130"/>
      <c r="G375" s="130"/>
      <c r="H375" s="130"/>
      <c r="I375" s="130"/>
      <c r="J375" s="130"/>
      <c r="K375" s="121" t="s">
        <v>1404</v>
      </c>
      <c r="L375" s="130" t="s">
        <v>194</v>
      </c>
      <c r="M375" s="130" t="s">
        <v>1396</v>
      </c>
      <c r="N375" s="51">
        <v>0</v>
      </c>
      <c r="O375" s="51">
        <v>0</v>
      </c>
      <c r="P375" s="51">
        <v>700</v>
      </c>
      <c r="Q375" s="51">
        <v>0</v>
      </c>
      <c r="R375" s="52">
        <v>0</v>
      </c>
      <c r="S375" s="52">
        <v>0</v>
      </c>
    </row>
    <row r="376" spans="1:19" s="137" customFormat="1" ht="95.25" customHeight="1">
      <c r="A376" s="127">
        <v>308</v>
      </c>
      <c r="B376" s="11" t="s">
        <v>854</v>
      </c>
      <c r="C376" s="130"/>
      <c r="D376" s="135" t="s">
        <v>224</v>
      </c>
      <c r="E376" s="130"/>
      <c r="F376" s="130"/>
      <c r="G376" s="130"/>
      <c r="H376" s="130"/>
      <c r="I376" s="130"/>
      <c r="J376" s="130"/>
      <c r="K376" s="121" t="s">
        <v>1583</v>
      </c>
      <c r="L376" s="130" t="s">
        <v>194</v>
      </c>
      <c r="M376" s="130" t="s">
        <v>1412</v>
      </c>
      <c r="N376" s="51">
        <v>0</v>
      </c>
      <c r="O376" s="51">
        <v>0</v>
      </c>
      <c r="P376" s="51">
        <v>499</v>
      </c>
      <c r="Q376" s="51">
        <v>0</v>
      </c>
      <c r="R376" s="52">
        <v>0</v>
      </c>
      <c r="S376" s="52">
        <v>0</v>
      </c>
    </row>
    <row r="377" spans="1:19" s="137" customFormat="1" ht="76.5" customHeight="1">
      <c r="A377" s="127">
        <v>309</v>
      </c>
      <c r="B377" s="11" t="s">
        <v>855</v>
      </c>
      <c r="C377" s="130"/>
      <c r="D377" s="135" t="s">
        <v>171</v>
      </c>
      <c r="E377" s="130"/>
      <c r="F377" s="130"/>
      <c r="G377" s="130"/>
      <c r="H377" s="130"/>
      <c r="I377" s="130"/>
      <c r="J377" s="130"/>
      <c r="K377" s="121" t="s">
        <v>1586</v>
      </c>
      <c r="L377" s="130" t="s">
        <v>194</v>
      </c>
      <c r="M377" s="130" t="s">
        <v>1413</v>
      </c>
      <c r="N377" s="51">
        <v>0</v>
      </c>
      <c r="O377" s="51">
        <v>0</v>
      </c>
      <c r="P377" s="51">
        <v>424.9186</v>
      </c>
      <c r="Q377" s="51">
        <v>0</v>
      </c>
      <c r="R377" s="52">
        <v>0</v>
      </c>
      <c r="S377" s="52">
        <v>0</v>
      </c>
    </row>
    <row r="378" spans="1:19" s="137" customFormat="1" ht="60.75" customHeight="1">
      <c r="A378" s="199">
        <v>310</v>
      </c>
      <c r="B378" s="195" t="s">
        <v>856</v>
      </c>
      <c r="C378" s="130"/>
      <c r="D378" s="203" t="s">
        <v>171</v>
      </c>
      <c r="E378" s="191"/>
      <c r="F378" s="191"/>
      <c r="G378" s="191"/>
      <c r="H378" s="191"/>
      <c r="I378" s="191"/>
      <c r="J378" s="191"/>
      <c r="K378" s="121" t="s">
        <v>1405</v>
      </c>
      <c r="L378" s="130" t="s">
        <v>194</v>
      </c>
      <c r="M378" s="130" t="s">
        <v>1414</v>
      </c>
      <c r="N378" s="185">
        <v>0</v>
      </c>
      <c r="O378" s="185">
        <v>0</v>
      </c>
      <c r="P378" s="185">
        <v>495</v>
      </c>
      <c r="Q378" s="185">
        <v>0</v>
      </c>
      <c r="R378" s="188">
        <v>0</v>
      </c>
      <c r="S378" s="188">
        <v>0</v>
      </c>
    </row>
    <row r="379" spans="1:19" s="137" customFormat="1" ht="60.75" customHeight="1">
      <c r="A379" s="200"/>
      <c r="B379" s="196"/>
      <c r="C379" s="130"/>
      <c r="D379" s="204"/>
      <c r="E379" s="192"/>
      <c r="F379" s="192"/>
      <c r="G379" s="192"/>
      <c r="H379" s="192"/>
      <c r="I379" s="192"/>
      <c r="J379" s="192"/>
      <c r="K379" s="121" t="s">
        <v>1406</v>
      </c>
      <c r="L379" s="130" t="s">
        <v>194</v>
      </c>
      <c r="M379" s="130" t="s">
        <v>1414</v>
      </c>
      <c r="N379" s="186"/>
      <c r="O379" s="186"/>
      <c r="P379" s="186"/>
      <c r="Q379" s="186"/>
      <c r="R379" s="190"/>
      <c r="S379" s="190"/>
    </row>
    <row r="380" spans="1:19" s="137" customFormat="1" ht="60.75" customHeight="1">
      <c r="A380" s="200"/>
      <c r="B380" s="196"/>
      <c r="C380" s="130"/>
      <c r="D380" s="204"/>
      <c r="E380" s="192"/>
      <c r="F380" s="192"/>
      <c r="G380" s="192"/>
      <c r="H380" s="192"/>
      <c r="I380" s="192"/>
      <c r="J380" s="192"/>
      <c r="K380" s="121" t="s">
        <v>1407</v>
      </c>
      <c r="L380" s="130" t="s">
        <v>194</v>
      </c>
      <c r="M380" s="130" t="s">
        <v>1414</v>
      </c>
      <c r="N380" s="186"/>
      <c r="O380" s="186"/>
      <c r="P380" s="186"/>
      <c r="Q380" s="186"/>
      <c r="R380" s="190"/>
      <c r="S380" s="190"/>
    </row>
    <row r="381" spans="1:19" s="137" customFormat="1" ht="60.75" customHeight="1">
      <c r="A381" s="201">
        <v>34</v>
      </c>
      <c r="B381" s="197" t="s">
        <v>785</v>
      </c>
      <c r="C381" s="130"/>
      <c r="D381" s="205" t="s">
        <v>1390</v>
      </c>
      <c r="E381" s="194"/>
      <c r="F381" s="194"/>
      <c r="G381" s="192"/>
      <c r="H381" s="192"/>
      <c r="I381" s="192"/>
      <c r="J381" s="192"/>
      <c r="K381" s="121" t="s">
        <v>1408</v>
      </c>
      <c r="L381" s="130" t="s">
        <v>194</v>
      </c>
      <c r="M381" s="130" t="s">
        <v>1414</v>
      </c>
      <c r="N381" s="186"/>
      <c r="O381" s="186"/>
      <c r="P381" s="186"/>
      <c r="Q381" s="186"/>
      <c r="R381" s="190"/>
      <c r="S381" s="190"/>
    </row>
    <row r="382" spans="1:19" s="137" customFormat="1" ht="60.75" customHeight="1">
      <c r="A382" s="200"/>
      <c r="B382" s="196"/>
      <c r="C382" s="130"/>
      <c r="D382" s="204"/>
      <c r="E382" s="192"/>
      <c r="F382" s="192"/>
      <c r="G382" s="192"/>
      <c r="H382" s="192"/>
      <c r="I382" s="192"/>
      <c r="J382" s="192"/>
      <c r="K382" s="121" t="s">
        <v>1409</v>
      </c>
      <c r="L382" s="130" t="s">
        <v>194</v>
      </c>
      <c r="M382" s="130" t="s">
        <v>1414</v>
      </c>
      <c r="N382" s="186"/>
      <c r="O382" s="186"/>
      <c r="P382" s="186"/>
      <c r="Q382" s="186"/>
      <c r="R382" s="190"/>
      <c r="S382" s="190"/>
    </row>
    <row r="383" spans="1:19" s="137" customFormat="1" ht="60.75" customHeight="1">
      <c r="A383" s="202"/>
      <c r="B383" s="198"/>
      <c r="C383" s="130"/>
      <c r="D383" s="206"/>
      <c r="E383" s="193"/>
      <c r="F383" s="193"/>
      <c r="G383" s="193"/>
      <c r="H383" s="193"/>
      <c r="I383" s="193"/>
      <c r="J383" s="193"/>
      <c r="K383" s="121" t="s">
        <v>1410</v>
      </c>
      <c r="L383" s="130" t="s">
        <v>194</v>
      </c>
      <c r="M383" s="130" t="s">
        <v>1414</v>
      </c>
      <c r="N383" s="187"/>
      <c r="O383" s="187"/>
      <c r="P383" s="187"/>
      <c r="Q383" s="187"/>
      <c r="R383" s="189"/>
      <c r="S383" s="189"/>
    </row>
    <row r="384" spans="1:19" s="137" customFormat="1" ht="60.75" customHeight="1">
      <c r="A384" s="127">
        <v>311</v>
      </c>
      <c r="B384" s="11" t="s">
        <v>857</v>
      </c>
      <c r="C384" s="130"/>
      <c r="D384" s="135" t="s">
        <v>15</v>
      </c>
      <c r="E384" s="130"/>
      <c r="F384" s="130"/>
      <c r="G384" s="130"/>
      <c r="H384" s="130"/>
      <c r="I384" s="130"/>
      <c r="J384" s="130"/>
      <c r="K384" s="121" t="s">
        <v>1411</v>
      </c>
      <c r="L384" s="130" t="s">
        <v>194</v>
      </c>
      <c r="M384" s="130" t="s">
        <v>1396</v>
      </c>
      <c r="N384" s="51">
        <v>0</v>
      </c>
      <c r="O384" s="51">
        <v>0</v>
      </c>
      <c r="P384" s="51">
        <v>15</v>
      </c>
      <c r="Q384" s="51">
        <v>0</v>
      </c>
      <c r="R384" s="52">
        <v>0</v>
      </c>
      <c r="S384" s="52">
        <v>0</v>
      </c>
    </row>
    <row r="385" spans="1:19" s="137" customFormat="1" ht="48" customHeight="1">
      <c r="A385" s="127">
        <v>312</v>
      </c>
      <c r="B385" s="11" t="s">
        <v>858</v>
      </c>
      <c r="C385" s="130"/>
      <c r="D385" s="135" t="s">
        <v>15</v>
      </c>
      <c r="E385" s="130"/>
      <c r="F385" s="130"/>
      <c r="G385" s="130"/>
      <c r="H385" s="130"/>
      <c r="I385" s="130"/>
      <c r="J385" s="130"/>
      <c r="K385" s="121" t="s">
        <v>1415</v>
      </c>
      <c r="L385" s="130" t="s">
        <v>194</v>
      </c>
      <c r="M385" s="130" t="s">
        <v>1396</v>
      </c>
      <c r="N385" s="51">
        <v>0</v>
      </c>
      <c r="O385" s="51">
        <v>0</v>
      </c>
      <c r="P385" s="51">
        <v>30</v>
      </c>
      <c r="Q385" s="51">
        <v>0</v>
      </c>
      <c r="R385" s="52">
        <v>0</v>
      </c>
      <c r="S385" s="52">
        <v>0</v>
      </c>
    </row>
    <row r="386" spans="1:19" s="137" customFormat="1" ht="84" customHeight="1">
      <c r="A386" s="127">
        <v>603</v>
      </c>
      <c r="B386" s="11" t="s">
        <v>934</v>
      </c>
      <c r="C386" s="130"/>
      <c r="D386" s="135" t="s">
        <v>15</v>
      </c>
      <c r="E386" s="130"/>
      <c r="F386" s="130"/>
      <c r="G386" s="130"/>
      <c r="H386" s="130" t="s">
        <v>1493</v>
      </c>
      <c r="I386" s="130" t="s">
        <v>1497</v>
      </c>
      <c r="J386" s="130" t="s">
        <v>441</v>
      </c>
      <c r="K386" s="140" t="s">
        <v>1416</v>
      </c>
      <c r="L386" s="130" t="s">
        <v>194</v>
      </c>
      <c r="M386" s="130" t="s">
        <v>1419</v>
      </c>
      <c r="N386" s="51">
        <v>0</v>
      </c>
      <c r="O386" s="51">
        <v>0</v>
      </c>
      <c r="P386" s="51">
        <v>5889.9</v>
      </c>
      <c r="Q386" s="51">
        <v>0</v>
      </c>
      <c r="R386" s="52">
        <v>0</v>
      </c>
      <c r="S386" s="52">
        <v>0</v>
      </c>
    </row>
    <row r="387" spans="1:19" s="137" customFormat="1" ht="87.75" customHeight="1">
      <c r="A387" s="127">
        <v>313</v>
      </c>
      <c r="B387" s="11" t="s">
        <v>935</v>
      </c>
      <c r="C387" s="130"/>
      <c r="D387" s="135" t="s">
        <v>842</v>
      </c>
      <c r="E387" s="130"/>
      <c r="F387" s="130"/>
      <c r="G387" s="130"/>
      <c r="H387" s="130"/>
      <c r="I387" s="130"/>
      <c r="J387" s="130"/>
      <c r="K387" s="121" t="s">
        <v>1417</v>
      </c>
      <c r="L387" s="130" t="s">
        <v>194</v>
      </c>
      <c r="M387" s="130" t="s">
        <v>1420</v>
      </c>
      <c r="N387" s="51">
        <v>0</v>
      </c>
      <c r="O387" s="51">
        <v>0</v>
      </c>
      <c r="P387" s="51">
        <v>130</v>
      </c>
      <c r="Q387" s="51">
        <v>0</v>
      </c>
      <c r="R387" s="52">
        <v>0</v>
      </c>
      <c r="S387" s="52">
        <v>0</v>
      </c>
    </row>
    <row r="388" spans="1:19" s="137" customFormat="1" ht="75.75" customHeight="1">
      <c r="A388" s="127">
        <v>316</v>
      </c>
      <c r="B388" s="11" t="s">
        <v>936</v>
      </c>
      <c r="C388" s="130"/>
      <c r="D388" s="135" t="s">
        <v>143</v>
      </c>
      <c r="E388" s="130"/>
      <c r="F388" s="130"/>
      <c r="G388" s="130"/>
      <c r="H388" s="130"/>
      <c r="I388" s="130"/>
      <c r="J388" s="130"/>
      <c r="K388" s="121" t="s">
        <v>1418</v>
      </c>
      <c r="L388" s="130" t="s">
        <v>194</v>
      </c>
      <c r="M388" s="130" t="s">
        <v>1399</v>
      </c>
      <c r="N388" s="51">
        <v>0</v>
      </c>
      <c r="O388" s="51">
        <v>0</v>
      </c>
      <c r="P388" s="51">
        <v>5289</v>
      </c>
      <c r="Q388" s="51">
        <v>0</v>
      </c>
      <c r="R388" s="52">
        <v>0</v>
      </c>
      <c r="S388" s="52">
        <v>0</v>
      </c>
    </row>
    <row r="389" spans="1:19" s="137" customFormat="1" ht="133.5" customHeight="1">
      <c r="A389" s="199">
        <v>611</v>
      </c>
      <c r="B389" s="195" t="s">
        <v>937</v>
      </c>
      <c r="C389" s="130"/>
      <c r="D389" s="203" t="s">
        <v>143</v>
      </c>
      <c r="E389" s="191"/>
      <c r="F389" s="191"/>
      <c r="G389" s="191"/>
      <c r="H389" s="191" t="s">
        <v>1487</v>
      </c>
      <c r="I389" s="191" t="s">
        <v>1488</v>
      </c>
      <c r="J389" s="191" t="s">
        <v>1489</v>
      </c>
      <c r="K389" s="139" t="s">
        <v>1421</v>
      </c>
      <c r="L389" s="144" t="s">
        <v>113</v>
      </c>
      <c r="M389" s="132" t="s">
        <v>1344</v>
      </c>
      <c r="N389" s="298">
        <v>0</v>
      </c>
      <c r="O389" s="298">
        <v>0</v>
      </c>
      <c r="P389" s="298">
        <v>10000</v>
      </c>
      <c r="Q389" s="298">
        <v>0</v>
      </c>
      <c r="R389" s="298">
        <v>0</v>
      </c>
      <c r="S389" s="298">
        <v>0</v>
      </c>
    </row>
    <row r="390" spans="1:19" s="137" customFormat="1" ht="125.25" customHeight="1">
      <c r="A390" s="202"/>
      <c r="B390" s="198"/>
      <c r="C390" s="130"/>
      <c r="D390" s="206"/>
      <c r="E390" s="193"/>
      <c r="F390" s="193"/>
      <c r="G390" s="193"/>
      <c r="H390" s="193"/>
      <c r="I390" s="193"/>
      <c r="J390" s="193"/>
      <c r="K390" s="140" t="s">
        <v>1422</v>
      </c>
      <c r="L390" s="133" t="s">
        <v>86</v>
      </c>
      <c r="M390" s="133" t="s">
        <v>1423</v>
      </c>
      <c r="N390" s="299"/>
      <c r="O390" s="299"/>
      <c r="P390" s="299"/>
      <c r="Q390" s="299"/>
      <c r="R390" s="299"/>
      <c r="S390" s="299"/>
    </row>
    <row r="391" spans="1:19" s="137" customFormat="1" ht="61.5" customHeight="1">
      <c r="A391" s="199">
        <v>617</v>
      </c>
      <c r="B391" s="195" t="s">
        <v>943</v>
      </c>
      <c r="C391" s="130"/>
      <c r="D391" s="203" t="s">
        <v>206</v>
      </c>
      <c r="E391" s="191"/>
      <c r="F391" s="191"/>
      <c r="G391" s="191"/>
      <c r="H391" s="191"/>
      <c r="I391" s="191"/>
      <c r="J391" s="191"/>
      <c r="K391" s="140" t="s">
        <v>1424</v>
      </c>
      <c r="L391" s="130" t="s">
        <v>194</v>
      </c>
      <c r="M391" s="130" t="s">
        <v>1344</v>
      </c>
      <c r="N391" s="298">
        <v>0</v>
      </c>
      <c r="O391" s="298">
        <v>0</v>
      </c>
      <c r="P391" s="298">
        <v>7592.516</v>
      </c>
      <c r="Q391" s="298">
        <v>0</v>
      </c>
      <c r="R391" s="298">
        <v>0</v>
      </c>
      <c r="S391" s="298">
        <v>0</v>
      </c>
    </row>
    <row r="392" spans="1:19" s="137" customFormat="1" ht="73.5" customHeight="1">
      <c r="A392" s="200"/>
      <c r="B392" s="196"/>
      <c r="C392" s="130"/>
      <c r="D392" s="204"/>
      <c r="E392" s="192"/>
      <c r="F392" s="192"/>
      <c r="G392" s="192"/>
      <c r="H392" s="192"/>
      <c r="I392" s="192"/>
      <c r="J392" s="192"/>
      <c r="K392" s="140" t="s">
        <v>1425</v>
      </c>
      <c r="L392" s="130" t="s">
        <v>1203</v>
      </c>
      <c r="M392" s="130" t="s">
        <v>1428</v>
      </c>
      <c r="N392" s="303"/>
      <c r="O392" s="303"/>
      <c r="P392" s="303"/>
      <c r="Q392" s="303"/>
      <c r="R392" s="303"/>
      <c r="S392" s="303"/>
    </row>
    <row r="393" spans="1:19" s="137" customFormat="1" ht="84.75" customHeight="1">
      <c r="A393" s="200"/>
      <c r="B393" s="196"/>
      <c r="C393" s="130"/>
      <c r="D393" s="204"/>
      <c r="E393" s="192"/>
      <c r="F393" s="192"/>
      <c r="G393" s="192"/>
      <c r="H393" s="192"/>
      <c r="I393" s="192"/>
      <c r="J393" s="192"/>
      <c r="K393" s="140" t="s">
        <v>1426</v>
      </c>
      <c r="L393" s="130" t="s">
        <v>1203</v>
      </c>
      <c r="M393" s="141" t="s">
        <v>1429</v>
      </c>
      <c r="N393" s="303"/>
      <c r="O393" s="303"/>
      <c r="P393" s="303"/>
      <c r="Q393" s="303"/>
      <c r="R393" s="303"/>
      <c r="S393" s="303"/>
    </row>
    <row r="394" spans="1:19" s="137" customFormat="1" ht="84" customHeight="1">
      <c r="A394" s="202"/>
      <c r="B394" s="198"/>
      <c r="C394" s="130"/>
      <c r="D394" s="206"/>
      <c r="E394" s="193"/>
      <c r="F394" s="193"/>
      <c r="G394" s="193"/>
      <c r="H394" s="193"/>
      <c r="I394" s="193"/>
      <c r="J394" s="193"/>
      <c r="K394" s="140" t="s">
        <v>1427</v>
      </c>
      <c r="L394" s="130" t="s">
        <v>1203</v>
      </c>
      <c r="M394" s="130" t="s">
        <v>1430</v>
      </c>
      <c r="N394" s="299"/>
      <c r="O394" s="299"/>
      <c r="P394" s="299"/>
      <c r="Q394" s="299"/>
      <c r="R394" s="299"/>
      <c r="S394" s="299"/>
    </row>
    <row r="395" spans="1:19" s="137" customFormat="1" ht="88.5" customHeight="1">
      <c r="A395" s="127">
        <v>619</v>
      </c>
      <c r="B395" s="11" t="s">
        <v>944</v>
      </c>
      <c r="C395" s="130"/>
      <c r="D395" s="135" t="s">
        <v>15</v>
      </c>
      <c r="E395" s="130"/>
      <c r="F395" s="130"/>
      <c r="G395" s="130"/>
      <c r="H395" s="130"/>
      <c r="I395" s="130"/>
      <c r="J395" s="130"/>
      <c r="K395" s="140" t="s">
        <v>1431</v>
      </c>
      <c r="L395" s="130" t="s">
        <v>245</v>
      </c>
      <c r="M395" s="130" t="s">
        <v>912</v>
      </c>
      <c r="N395" s="64">
        <v>0</v>
      </c>
      <c r="O395" s="64">
        <v>0</v>
      </c>
      <c r="P395" s="64">
        <v>1527.5</v>
      </c>
      <c r="Q395" s="64">
        <v>0</v>
      </c>
      <c r="R395" s="64">
        <v>0</v>
      </c>
      <c r="S395" s="64">
        <v>0</v>
      </c>
    </row>
    <row r="396" spans="1:19" s="137" customFormat="1" ht="99.75" customHeight="1">
      <c r="A396" s="127">
        <v>622</v>
      </c>
      <c r="B396" s="11" t="s">
        <v>945</v>
      </c>
      <c r="C396" s="130"/>
      <c r="D396" s="135" t="s">
        <v>1202</v>
      </c>
      <c r="E396" s="130" t="s">
        <v>1498</v>
      </c>
      <c r="F396" s="130" t="s">
        <v>1499</v>
      </c>
      <c r="G396" s="130" t="s">
        <v>1500</v>
      </c>
      <c r="H396" s="130"/>
      <c r="I396" s="130"/>
      <c r="J396" s="130"/>
      <c r="K396" s="140" t="s">
        <v>1432</v>
      </c>
      <c r="L396" s="130" t="s">
        <v>823</v>
      </c>
      <c r="M396" s="130" t="s">
        <v>1419</v>
      </c>
      <c r="N396" s="64">
        <v>0</v>
      </c>
      <c r="O396" s="64">
        <v>0</v>
      </c>
      <c r="P396" s="64">
        <v>7876.231</v>
      </c>
      <c r="Q396" s="64">
        <v>0</v>
      </c>
      <c r="R396" s="64">
        <v>0</v>
      </c>
      <c r="S396" s="64">
        <v>0</v>
      </c>
    </row>
    <row r="397" spans="1:19" s="137" customFormat="1" ht="54" customHeight="1">
      <c r="A397" s="200">
        <v>624</v>
      </c>
      <c r="B397" s="196" t="s">
        <v>1612</v>
      </c>
      <c r="C397" s="130"/>
      <c r="D397" s="204"/>
      <c r="E397" s="192"/>
      <c r="F397" s="192"/>
      <c r="G397" s="191"/>
      <c r="H397" s="191"/>
      <c r="I397" s="191"/>
      <c r="J397" s="191"/>
      <c r="K397" s="139" t="s">
        <v>1434</v>
      </c>
      <c r="L397" s="132" t="s">
        <v>1435</v>
      </c>
      <c r="M397" s="132" t="s">
        <v>906</v>
      </c>
      <c r="N397" s="298">
        <v>0</v>
      </c>
      <c r="O397" s="298">
        <v>0</v>
      </c>
      <c r="P397" s="298">
        <v>25000</v>
      </c>
      <c r="Q397" s="298">
        <v>0</v>
      </c>
      <c r="R397" s="298">
        <v>0</v>
      </c>
      <c r="S397" s="298">
        <v>0</v>
      </c>
    </row>
    <row r="398" spans="1:19" s="137" customFormat="1" ht="84.75" customHeight="1">
      <c r="A398" s="202"/>
      <c r="B398" s="198"/>
      <c r="C398" s="130"/>
      <c r="D398" s="206"/>
      <c r="E398" s="193"/>
      <c r="F398" s="193"/>
      <c r="G398" s="193"/>
      <c r="H398" s="193"/>
      <c r="I398" s="193"/>
      <c r="J398" s="193"/>
      <c r="K398" s="140" t="s">
        <v>1433</v>
      </c>
      <c r="L398" s="133" t="s">
        <v>194</v>
      </c>
      <c r="M398" s="133" t="s">
        <v>1436</v>
      </c>
      <c r="N398" s="299"/>
      <c r="O398" s="299"/>
      <c r="P398" s="299"/>
      <c r="Q398" s="299"/>
      <c r="R398" s="299"/>
      <c r="S398" s="299"/>
    </row>
    <row r="399" spans="1:19" s="137" customFormat="1" ht="97.5" customHeight="1">
      <c r="A399" s="127">
        <v>630</v>
      </c>
      <c r="B399" s="32" t="s">
        <v>958</v>
      </c>
      <c r="C399" s="130"/>
      <c r="D399" s="135" t="s">
        <v>171</v>
      </c>
      <c r="E399" s="130"/>
      <c r="F399" s="130"/>
      <c r="G399" s="130"/>
      <c r="H399" s="130" t="s">
        <v>1487</v>
      </c>
      <c r="I399" s="130" t="s">
        <v>1488</v>
      </c>
      <c r="J399" s="130" t="s">
        <v>1489</v>
      </c>
      <c r="K399" s="140" t="s">
        <v>1437</v>
      </c>
      <c r="L399" s="130" t="s">
        <v>194</v>
      </c>
      <c r="M399" s="130" t="s">
        <v>1438</v>
      </c>
      <c r="N399" s="64">
        <v>0</v>
      </c>
      <c r="O399" s="64">
        <v>0</v>
      </c>
      <c r="P399" s="64">
        <v>63.5</v>
      </c>
      <c r="Q399" s="64">
        <v>0</v>
      </c>
      <c r="R399" s="64">
        <v>0</v>
      </c>
      <c r="S399" s="64">
        <v>0</v>
      </c>
    </row>
    <row r="400" spans="1:19" s="137" customFormat="1" ht="63" customHeight="1">
      <c r="A400" s="127">
        <v>317</v>
      </c>
      <c r="B400" s="32" t="s">
        <v>995</v>
      </c>
      <c r="C400" s="130"/>
      <c r="D400" s="135" t="s">
        <v>142</v>
      </c>
      <c r="E400" s="130"/>
      <c r="F400" s="130"/>
      <c r="G400" s="130"/>
      <c r="H400" s="130"/>
      <c r="I400" s="130"/>
      <c r="J400" s="130"/>
      <c r="K400" s="121" t="s">
        <v>1579</v>
      </c>
      <c r="L400" s="130" t="s">
        <v>1203</v>
      </c>
      <c r="M400" s="130" t="s">
        <v>1439</v>
      </c>
      <c r="N400" s="64">
        <v>0</v>
      </c>
      <c r="O400" s="64">
        <v>0</v>
      </c>
      <c r="P400" s="64">
        <v>507.13376</v>
      </c>
      <c r="Q400" s="64">
        <v>0</v>
      </c>
      <c r="R400" s="64">
        <v>0</v>
      </c>
      <c r="S400" s="64">
        <v>0</v>
      </c>
    </row>
    <row r="401" spans="1:19" s="137" customFormat="1" ht="63.75" customHeight="1">
      <c r="A401" s="127">
        <v>318</v>
      </c>
      <c r="B401" s="32" t="s">
        <v>996</v>
      </c>
      <c r="C401" s="130"/>
      <c r="D401" s="135" t="s">
        <v>171</v>
      </c>
      <c r="E401" s="130"/>
      <c r="F401" s="130"/>
      <c r="G401" s="130"/>
      <c r="H401" s="130"/>
      <c r="I401" s="130"/>
      <c r="J401" s="130"/>
      <c r="K401" s="121" t="s">
        <v>1440</v>
      </c>
      <c r="L401" s="130" t="s">
        <v>1203</v>
      </c>
      <c r="M401" s="130" t="s">
        <v>1439</v>
      </c>
      <c r="N401" s="64">
        <v>0</v>
      </c>
      <c r="O401" s="64">
        <v>0</v>
      </c>
      <c r="P401" s="64">
        <v>65</v>
      </c>
      <c r="Q401" s="64">
        <v>0</v>
      </c>
      <c r="R401" s="64">
        <v>0</v>
      </c>
      <c r="S401" s="64">
        <v>0</v>
      </c>
    </row>
    <row r="402" spans="1:19" s="137" customFormat="1" ht="63.75" customHeight="1">
      <c r="A402" s="127">
        <v>319</v>
      </c>
      <c r="B402" s="32" t="s">
        <v>997</v>
      </c>
      <c r="C402" s="147"/>
      <c r="D402" s="148" t="s">
        <v>305</v>
      </c>
      <c r="E402" s="147"/>
      <c r="F402" s="147"/>
      <c r="G402" s="147"/>
      <c r="H402" s="147"/>
      <c r="I402" s="147"/>
      <c r="J402" s="147"/>
      <c r="K402" s="121" t="s">
        <v>1441</v>
      </c>
      <c r="L402" s="147" t="s">
        <v>1203</v>
      </c>
      <c r="M402" s="130" t="s">
        <v>1439</v>
      </c>
      <c r="N402" s="64">
        <v>0</v>
      </c>
      <c r="O402" s="64">
        <v>0</v>
      </c>
      <c r="P402" s="64">
        <v>36.3</v>
      </c>
      <c r="Q402" s="64">
        <v>0</v>
      </c>
      <c r="R402" s="64">
        <v>0</v>
      </c>
      <c r="S402" s="64">
        <v>0</v>
      </c>
    </row>
    <row r="403" spans="1:19" s="137" customFormat="1" ht="96" customHeight="1">
      <c r="A403" s="127">
        <v>320</v>
      </c>
      <c r="B403" s="32" t="s">
        <v>998</v>
      </c>
      <c r="C403" s="147"/>
      <c r="D403" s="148" t="s">
        <v>143</v>
      </c>
      <c r="E403" s="147"/>
      <c r="F403" s="147"/>
      <c r="G403" s="147"/>
      <c r="H403" s="147"/>
      <c r="I403" s="147"/>
      <c r="J403" s="147"/>
      <c r="K403" s="121" t="s">
        <v>1442</v>
      </c>
      <c r="L403" s="147" t="s">
        <v>1203</v>
      </c>
      <c r="M403" s="130" t="s">
        <v>1439</v>
      </c>
      <c r="N403" s="64">
        <v>0</v>
      </c>
      <c r="O403" s="64">
        <v>0</v>
      </c>
      <c r="P403" s="64">
        <v>41</v>
      </c>
      <c r="Q403" s="64">
        <v>0</v>
      </c>
      <c r="R403" s="64">
        <v>0</v>
      </c>
      <c r="S403" s="64">
        <v>0</v>
      </c>
    </row>
    <row r="404" spans="1:19" s="137" customFormat="1" ht="76.5" customHeight="1">
      <c r="A404" s="127">
        <v>321</v>
      </c>
      <c r="B404" s="32" t="s">
        <v>999</v>
      </c>
      <c r="C404" s="147"/>
      <c r="D404" s="148" t="s">
        <v>143</v>
      </c>
      <c r="E404" s="147"/>
      <c r="F404" s="147"/>
      <c r="G404" s="147"/>
      <c r="H404" s="147"/>
      <c r="I404" s="147"/>
      <c r="J404" s="147"/>
      <c r="K404" s="121" t="s">
        <v>1443</v>
      </c>
      <c r="L404" s="147" t="s">
        <v>1203</v>
      </c>
      <c r="M404" s="130" t="s">
        <v>1439</v>
      </c>
      <c r="N404" s="64">
        <v>0</v>
      </c>
      <c r="O404" s="64">
        <v>0</v>
      </c>
      <c r="P404" s="64">
        <v>95</v>
      </c>
      <c r="Q404" s="64">
        <v>0</v>
      </c>
      <c r="R404" s="64">
        <v>0</v>
      </c>
      <c r="S404" s="64">
        <v>0</v>
      </c>
    </row>
    <row r="405" spans="1:19" s="137" customFormat="1" ht="60.75" customHeight="1">
      <c r="A405" s="127">
        <v>322</v>
      </c>
      <c r="B405" s="32" t="s">
        <v>1000</v>
      </c>
      <c r="C405" s="147"/>
      <c r="D405" s="148" t="s">
        <v>171</v>
      </c>
      <c r="E405" s="147"/>
      <c r="F405" s="147"/>
      <c r="G405" s="147"/>
      <c r="H405" s="147"/>
      <c r="I405" s="147"/>
      <c r="J405" s="147"/>
      <c r="K405" s="121" t="s">
        <v>1444</v>
      </c>
      <c r="L405" s="147" t="s">
        <v>1203</v>
      </c>
      <c r="M405" s="130" t="s">
        <v>1439</v>
      </c>
      <c r="N405" s="64">
        <v>0</v>
      </c>
      <c r="O405" s="64">
        <v>0</v>
      </c>
      <c r="P405" s="64">
        <v>110</v>
      </c>
      <c r="Q405" s="64">
        <v>0</v>
      </c>
      <c r="R405" s="64">
        <v>0</v>
      </c>
      <c r="S405" s="64">
        <v>0</v>
      </c>
    </row>
    <row r="406" spans="1:19" s="137" customFormat="1" ht="94.5" customHeight="1">
      <c r="A406" s="127">
        <v>323</v>
      </c>
      <c r="B406" s="32" t="s">
        <v>1001</v>
      </c>
      <c r="C406" s="147"/>
      <c r="D406" s="148" t="s">
        <v>15</v>
      </c>
      <c r="E406" s="147"/>
      <c r="F406" s="147"/>
      <c r="G406" s="147"/>
      <c r="H406" s="147"/>
      <c r="I406" s="147"/>
      <c r="J406" s="147"/>
      <c r="K406" s="121" t="s">
        <v>1442</v>
      </c>
      <c r="L406" s="147" t="s">
        <v>1203</v>
      </c>
      <c r="M406" s="130" t="s">
        <v>1439</v>
      </c>
      <c r="N406" s="64">
        <v>0</v>
      </c>
      <c r="O406" s="64">
        <v>0</v>
      </c>
      <c r="P406" s="64">
        <v>30</v>
      </c>
      <c r="Q406" s="64">
        <v>0</v>
      </c>
      <c r="R406" s="64">
        <v>0</v>
      </c>
      <c r="S406" s="64">
        <v>0</v>
      </c>
    </row>
    <row r="407" spans="1:19" s="137" customFormat="1" ht="60.75" customHeight="1">
      <c r="A407" s="127">
        <v>324</v>
      </c>
      <c r="B407" s="32" t="s">
        <v>1002</v>
      </c>
      <c r="C407" s="147"/>
      <c r="D407" s="148" t="s">
        <v>842</v>
      </c>
      <c r="E407" s="147"/>
      <c r="F407" s="147"/>
      <c r="G407" s="147"/>
      <c r="H407" s="147"/>
      <c r="I407" s="147"/>
      <c r="J407" s="147"/>
      <c r="K407" s="121" t="s">
        <v>1445</v>
      </c>
      <c r="L407" s="147" t="s">
        <v>194</v>
      </c>
      <c r="M407" s="147" t="s">
        <v>1448</v>
      </c>
      <c r="N407" s="64">
        <v>0</v>
      </c>
      <c r="O407" s="64">
        <v>0</v>
      </c>
      <c r="P407" s="64">
        <v>30</v>
      </c>
      <c r="Q407" s="64">
        <v>0</v>
      </c>
      <c r="R407" s="64">
        <v>0</v>
      </c>
      <c r="S407" s="64">
        <v>0</v>
      </c>
    </row>
    <row r="408" spans="1:19" s="137" customFormat="1" ht="111" customHeight="1">
      <c r="A408" s="127">
        <v>621</v>
      </c>
      <c r="B408" s="32" t="s">
        <v>1003</v>
      </c>
      <c r="C408" s="147"/>
      <c r="D408" s="148" t="s">
        <v>147</v>
      </c>
      <c r="E408" s="147"/>
      <c r="F408" s="147"/>
      <c r="G408" s="147"/>
      <c r="H408" s="147" t="s">
        <v>1495</v>
      </c>
      <c r="I408" s="147" t="s">
        <v>1501</v>
      </c>
      <c r="J408" s="147" t="s">
        <v>1492</v>
      </c>
      <c r="K408" s="140" t="s">
        <v>1446</v>
      </c>
      <c r="L408" s="147" t="s">
        <v>194</v>
      </c>
      <c r="M408" s="147" t="s">
        <v>1449</v>
      </c>
      <c r="N408" s="64">
        <v>0</v>
      </c>
      <c r="O408" s="64">
        <v>0</v>
      </c>
      <c r="P408" s="64">
        <v>418.89996</v>
      </c>
      <c r="Q408" s="64">
        <v>0</v>
      </c>
      <c r="R408" s="64">
        <v>0</v>
      </c>
      <c r="S408" s="64">
        <v>0</v>
      </c>
    </row>
    <row r="409" spans="1:19" s="137" customFormat="1" ht="122.25" customHeight="1">
      <c r="A409" s="127">
        <v>626</v>
      </c>
      <c r="B409" s="85" t="s">
        <v>1004</v>
      </c>
      <c r="C409" s="147"/>
      <c r="D409" s="148" t="s">
        <v>305</v>
      </c>
      <c r="E409" s="147"/>
      <c r="F409" s="147"/>
      <c r="G409" s="147"/>
      <c r="H409" s="147"/>
      <c r="I409" s="147"/>
      <c r="J409" s="147"/>
      <c r="K409" s="140" t="s">
        <v>1447</v>
      </c>
      <c r="L409" s="147" t="s">
        <v>245</v>
      </c>
      <c r="M409" s="147" t="s">
        <v>1450</v>
      </c>
      <c r="N409" s="64">
        <v>0</v>
      </c>
      <c r="O409" s="64">
        <v>0</v>
      </c>
      <c r="P409" s="64">
        <v>22935</v>
      </c>
      <c r="Q409" s="64">
        <v>0</v>
      </c>
      <c r="R409" s="64">
        <v>0</v>
      </c>
      <c r="S409" s="64">
        <v>0</v>
      </c>
    </row>
    <row r="410" spans="1:19" s="137" customFormat="1" ht="110.25" customHeight="1">
      <c r="A410" s="127">
        <v>634</v>
      </c>
      <c r="B410" s="32" t="s">
        <v>1005</v>
      </c>
      <c r="C410" s="147"/>
      <c r="D410" s="148" t="s">
        <v>247</v>
      </c>
      <c r="E410" s="147"/>
      <c r="F410" s="147"/>
      <c r="G410" s="147"/>
      <c r="H410" s="147"/>
      <c r="I410" s="147"/>
      <c r="J410" s="147"/>
      <c r="K410" s="139" t="s">
        <v>1013</v>
      </c>
      <c r="L410" s="147" t="s">
        <v>200</v>
      </c>
      <c r="M410" s="147" t="s">
        <v>1228</v>
      </c>
      <c r="N410" s="64">
        <v>0</v>
      </c>
      <c r="O410" s="64">
        <v>0</v>
      </c>
      <c r="P410" s="64">
        <v>10107.47</v>
      </c>
      <c r="Q410" s="64">
        <v>7550</v>
      </c>
      <c r="R410" s="64">
        <v>0</v>
      </c>
      <c r="S410" s="64">
        <v>0</v>
      </c>
    </row>
    <row r="411" spans="1:19" s="137" customFormat="1" ht="109.5" customHeight="1">
      <c r="A411" s="127">
        <v>635</v>
      </c>
      <c r="B411" s="32" t="s">
        <v>985</v>
      </c>
      <c r="C411" s="147"/>
      <c r="D411" s="148" t="s">
        <v>147</v>
      </c>
      <c r="E411" s="147"/>
      <c r="F411" s="147"/>
      <c r="G411" s="147"/>
      <c r="H411" s="147" t="s">
        <v>1495</v>
      </c>
      <c r="I411" s="147" t="s">
        <v>1501</v>
      </c>
      <c r="J411" s="147" t="s">
        <v>1492</v>
      </c>
      <c r="K411" s="121" t="s">
        <v>988</v>
      </c>
      <c r="L411" s="147" t="s">
        <v>1459</v>
      </c>
      <c r="M411" s="147" t="s">
        <v>1460</v>
      </c>
      <c r="N411" s="64">
        <v>0</v>
      </c>
      <c r="O411" s="64">
        <v>0</v>
      </c>
      <c r="P411" s="64">
        <v>6401</v>
      </c>
      <c r="Q411" s="64">
        <v>0</v>
      </c>
      <c r="R411" s="64">
        <v>0</v>
      </c>
      <c r="S411" s="64">
        <v>0</v>
      </c>
    </row>
    <row r="412" spans="1:19" s="137" customFormat="1" ht="85.5" customHeight="1">
      <c r="A412" s="199">
        <v>638</v>
      </c>
      <c r="B412" s="231" t="s">
        <v>1006</v>
      </c>
      <c r="C412" s="147"/>
      <c r="D412" s="203" t="s">
        <v>1451</v>
      </c>
      <c r="E412" s="191"/>
      <c r="F412" s="191"/>
      <c r="G412" s="191"/>
      <c r="H412" s="191" t="s">
        <v>1487</v>
      </c>
      <c r="I412" s="191" t="s">
        <v>1488</v>
      </c>
      <c r="J412" s="191" t="s">
        <v>1489</v>
      </c>
      <c r="K412" s="140" t="s">
        <v>1452</v>
      </c>
      <c r="L412" s="147" t="s">
        <v>194</v>
      </c>
      <c r="M412" s="147" t="s">
        <v>1457</v>
      </c>
      <c r="N412" s="298">
        <v>0</v>
      </c>
      <c r="O412" s="298">
        <v>0</v>
      </c>
      <c r="P412" s="298">
        <v>360.5</v>
      </c>
      <c r="Q412" s="298">
        <v>0</v>
      </c>
      <c r="R412" s="298">
        <v>0</v>
      </c>
      <c r="S412" s="298">
        <v>0</v>
      </c>
    </row>
    <row r="413" spans="1:19" s="137" customFormat="1" ht="84.75" customHeight="1">
      <c r="A413" s="199">
        <v>624</v>
      </c>
      <c r="B413" s="195" t="s">
        <v>964</v>
      </c>
      <c r="C413" s="130"/>
      <c r="D413" s="203" t="s">
        <v>143</v>
      </c>
      <c r="E413" s="191"/>
      <c r="F413" s="191"/>
      <c r="G413" s="192"/>
      <c r="H413" s="192"/>
      <c r="I413" s="192"/>
      <c r="J413" s="192"/>
      <c r="K413" s="140" t="s">
        <v>1453</v>
      </c>
      <c r="L413" s="147" t="s">
        <v>245</v>
      </c>
      <c r="M413" s="147" t="s">
        <v>1457</v>
      </c>
      <c r="N413" s="303"/>
      <c r="O413" s="303"/>
      <c r="P413" s="303"/>
      <c r="Q413" s="303"/>
      <c r="R413" s="303"/>
      <c r="S413" s="303"/>
    </row>
    <row r="414" spans="1:19" s="137" customFormat="1" ht="100.5" customHeight="1">
      <c r="A414" s="200"/>
      <c r="B414" s="181"/>
      <c r="C414" s="147"/>
      <c r="D414" s="204"/>
      <c r="E414" s="192"/>
      <c r="F414" s="192"/>
      <c r="G414" s="192"/>
      <c r="H414" s="192"/>
      <c r="I414" s="192"/>
      <c r="J414" s="192"/>
      <c r="K414" s="140" t="s">
        <v>1454</v>
      </c>
      <c r="L414" s="147" t="s">
        <v>245</v>
      </c>
      <c r="M414" s="147" t="s">
        <v>1457</v>
      </c>
      <c r="N414" s="303"/>
      <c r="O414" s="303"/>
      <c r="P414" s="303"/>
      <c r="Q414" s="303"/>
      <c r="R414" s="303"/>
      <c r="S414" s="303"/>
    </row>
    <row r="415" spans="1:19" s="137" customFormat="1" ht="85.5" customHeight="1">
      <c r="A415" s="202"/>
      <c r="B415" s="182"/>
      <c r="C415" s="147"/>
      <c r="D415" s="206"/>
      <c r="E415" s="193"/>
      <c r="F415" s="193"/>
      <c r="G415" s="193"/>
      <c r="H415" s="193"/>
      <c r="I415" s="193"/>
      <c r="J415" s="193"/>
      <c r="K415" s="140" t="s">
        <v>1455</v>
      </c>
      <c r="L415" s="147" t="s">
        <v>245</v>
      </c>
      <c r="M415" s="147" t="s">
        <v>1457</v>
      </c>
      <c r="N415" s="299"/>
      <c r="O415" s="299"/>
      <c r="P415" s="299"/>
      <c r="Q415" s="299"/>
      <c r="R415" s="299"/>
      <c r="S415" s="299"/>
    </row>
    <row r="416" spans="1:19" s="137" customFormat="1" ht="86.25" customHeight="1">
      <c r="A416" s="127">
        <v>325</v>
      </c>
      <c r="B416" s="32" t="s">
        <v>1066</v>
      </c>
      <c r="C416" s="147"/>
      <c r="D416" s="148" t="s">
        <v>842</v>
      </c>
      <c r="E416" s="147"/>
      <c r="F416" s="147"/>
      <c r="G416" s="147"/>
      <c r="H416" s="147"/>
      <c r="I416" s="147"/>
      <c r="J416" s="147"/>
      <c r="K416" s="121" t="s">
        <v>1456</v>
      </c>
      <c r="L416" s="147" t="s">
        <v>194</v>
      </c>
      <c r="M416" s="147" t="s">
        <v>1458</v>
      </c>
      <c r="N416" s="64">
        <v>0</v>
      </c>
      <c r="O416" s="64">
        <v>0</v>
      </c>
      <c r="P416" s="64">
        <v>150</v>
      </c>
      <c r="Q416" s="64">
        <v>0</v>
      </c>
      <c r="R416" s="64">
        <v>0</v>
      </c>
      <c r="S416" s="64">
        <v>0</v>
      </c>
    </row>
    <row r="417" spans="1:19" s="137" customFormat="1" ht="85.5" customHeight="1">
      <c r="A417" s="127">
        <v>326</v>
      </c>
      <c r="B417" s="32" t="s">
        <v>1067</v>
      </c>
      <c r="C417" s="147"/>
      <c r="D417" s="148" t="s">
        <v>224</v>
      </c>
      <c r="E417" s="147"/>
      <c r="F417" s="147"/>
      <c r="G417" s="147"/>
      <c r="H417" s="147"/>
      <c r="I417" s="147"/>
      <c r="J417" s="147"/>
      <c r="K417" s="121" t="s">
        <v>1461</v>
      </c>
      <c r="L417" s="147" t="s">
        <v>1203</v>
      </c>
      <c r="M417" s="147" t="s">
        <v>1467</v>
      </c>
      <c r="N417" s="64">
        <v>0</v>
      </c>
      <c r="O417" s="64">
        <v>0</v>
      </c>
      <c r="P417" s="64">
        <v>1000</v>
      </c>
      <c r="Q417" s="64">
        <v>0</v>
      </c>
      <c r="R417" s="64">
        <v>0</v>
      </c>
      <c r="S417" s="64">
        <v>0</v>
      </c>
    </row>
    <row r="418" spans="1:19" s="137" customFormat="1" ht="63.75" customHeight="1">
      <c r="A418" s="127">
        <v>327</v>
      </c>
      <c r="B418" s="32" t="s">
        <v>1068</v>
      </c>
      <c r="C418" s="147"/>
      <c r="D418" s="148" t="s">
        <v>15</v>
      </c>
      <c r="E418" s="147"/>
      <c r="F418" s="147"/>
      <c r="G418" s="147"/>
      <c r="H418" s="147"/>
      <c r="I418" s="147"/>
      <c r="J418" s="147"/>
      <c r="K418" s="121" t="s">
        <v>1462</v>
      </c>
      <c r="L418" s="147" t="s">
        <v>1203</v>
      </c>
      <c r="M418" s="147" t="s">
        <v>1467</v>
      </c>
      <c r="N418" s="64">
        <v>0</v>
      </c>
      <c r="O418" s="64">
        <v>0</v>
      </c>
      <c r="P418" s="64">
        <v>100</v>
      </c>
      <c r="Q418" s="64">
        <v>0</v>
      </c>
      <c r="R418" s="64">
        <v>0</v>
      </c>
      <c r="S418" s="64">
        <v>0</v>
      </c>
    </row>
    <row r="419" spans="1:19" s="137" customFormat="1" ht="65.25" customHeight="1">
      <c r="A419" s="127">
        <v>328</v>
      </c>
      <c r="B419" s="32" t="s">
        <v>1069</v>
      </c>
      <c r="C419" s="147"/>
      <c r="D419" s="148" t="s">
        <v>1202</v>
      </c>
      <c r="E419" s="147"/>
      <c r="F419" s="147"/>
      <c r="G419" s="147"/>
      <c r="H419" s="147"/>
      <c r="I419" s="147"/>
      <c r="J419" s="147"/>
      <c r="K419" s="121" t="s">
        <v>1463</v>
      </c>
      <c r="L419" s="147" t="s">
        <v>1203</v>
      </c>
      <c r="M419" s="147" t="s">
        <v>1467</v>
      </c>
      <c r="N419" s="64">
        <v>0</v>
      </c>
      <c r="O419" s="64">
        <v>0</v>
      </c>
      <c r="P419" s="64">
        <v>200</v>
      </c>
      <c r="Q419" s="64">
        <v>0</v>
      </c>
      <c r="R419" s="64">
        <v>0</v>
      </c>
      <c r="S419" s="64">
        <v>0</v>
      </c>
    </row>
    <row r="420" spans="1:19" s="137" customFormat="1" ht="74.25" customHeight="1">
      <c r="A420" s="199">
        <v>640</v>
      </c>
      <c r="B420" s="231" t="s">
        <v>1070</v>
      </c>
      <c r="C420" s="147"/>
      <c r="D420" s="203" t="s">
        <v>143</v>
      </c>
      <c r="E420" s="191"/>
      <c r="F420" s="191"/>
      <c r="G420" s="191"/>
      <c r="H420" s="191" t="s">
        <v>1495</v>
      </c>
      <c r="I420" s="191" t="s">
        <v>1501</v>
      </c>
      <c r="J420" s="191" t="s">
        <v>1492</v>
      </c>
      <c r="K420" s="139" t="s">
        <v>1464</v>
      </c>
      <c r="L420" s="147" t="s">
        <v>1203</v>
      </c>
      <c r="M420" s="147" t="s">
        <v>1468</v>
      </c>
      <c r="N420" s="298">
        <v>0</v>
      </c>
      <c r="O420" s="298">
        <v>0</v>
      </c>
      <c r="P420" s="298">
        <v>2571</v>
      </c>
      <c r="Q420" s="298">
        <v>0</v>
      </c>
      <c r="R420" s="298">
        <v>0</v>
      </c>
      <c r="S420" s="298">
        <v>0</v>
      </c>
    </row>
    <row r="421" spans="1:19" s="137" customFormat="1" ht="74.25" customHeight="1">
      <c r="A421" s="200"/>
      <c r="B421" s="181"/>
      <c r="C421" s="147"/>
      <c r="D421" s="204"/>
      <c r="E421" s="192"/>
      <c r="F421" s="192"/>
      <c r="G421" s="192"/>
      <c r="H421" s="192"/>
      <c r="I421" s="192"/>
      <c r="J421" s="192"/>
      <c r="K421" s="142" t="s">
        <v>1465</v>
      </c>
      <c r="L421" s="147" t="s">
        <v>1203</v>
      </c>
      <c r="M421" s="147" t="s">
        <v>1468</v>
      </c>
      <c r="N421" s="303"/>
      <c r="O421" s="303"/>
      <c r="P421" s="303"/>
      <c r="Q421" s="303"/>
      <c r="R421" s="303"/>
      <c r="S421" s="303"/>
    </row>
    <row r="422" spans="1:19" s="137" customFormat="1" ht="74.25" customHeight="1">
      <c r="A422" s="202"/>
      <c r="B422" s="182"/>
      <c r="C422" s="147"/>
      <c r="D422" s="206"/>
      <c r="E422" s="193"/>
      <c r="F422" s="193"/>
      <c r="G422" s="193"/>
      <c r="H422" s="193"/>
      <c r="I422" s="193"/>
      <c r="J422" s="193"/>
      <c r="K422" s="140" t="s">
        <v>1466</v>
      </c>
      <c r="L422" s="147" t="s">
        <v>1203</v>
      </c>
      <c r="M422" s="147" t="s">
        <v>1468</v>
      </c>
      <c r="N422" s="299"/>
      <c r="O422" s="299"/>
      <c r="P422" s="299"/>
      <c r="Q422" s="299"/>
      <c r="R422" s="299"/>
      <c r="S422" s="299"/>
    </row>
    <row r="423" spans="1:19" s="137" customFormat="1" ht="90.75" customHeight="1">
      <c r="A423" s="143">
        <v>641</v>
      </c>
      <c r="B423" s="32" t="s">
        <v>1071</v>
      </c>
      <c r="C423" s="147"/>
      <c r="D423" s="149" t="s">
        <v>247</v>
      </c>
      <c r="E423" s="147"/>
      <c r="F423" s="147"/>
      <c r="G423" s="147"/>
      <c r="H423" s="147" t="s">
        <v>1493</v>
      </c>
      <c r="I423" s="147" t="s">
        <v>1502</v>
      </c>
      <c r="J423" s="147" t="s">
        <v>1503</v>
      </c>
      <c r="K423" s="140" t="s">
        <v>1470</v>
      </c>
      <c r="L423" s="147" t="s">
        <v>113</v>
      </c>
      <c r="M423" s="147" t="s">
        <v>1475</v>
      </c>
      <c r="N423" s="64">
        <v>0</v>
      </c>
      <c r="O423" s="64">
        <v>0</v>
      </c>
      <c r="P423" s="64">
        <v>3465</v>
      </c>
      <c r="Q423" s="64">
        <v>3780</v>
      </c>
      <c r="R423" s="64">
        <v>0</v>
      </c>
      <c r="S423" s="64">
        <v>0</v>
      </c>
    </row>
    <row r="424" spans="1:19" s="137" customFormat="1" ht="48.75" customHeight="1">
      <c r="A424" s="127"/>
      <c r="B424" s="32" t="s">
        <v>1516</v>
      </c>
      <c r="C424" s="130"/>
      <c r="D424" s="135"/>
      <c r="E424" s="130"/>
      <c r="F424" s="130"/>
      <c r="G424" s="130"/>
      <c r="H424" s="130"/>
      <c r="I424" s="130"/>
      <c r="J424" s="130"/>
      <c r="K424" s="140" t="s">
        <v>810</v>
      </c>
      <c r="L424" s="130"/>
      <c r="M424" s="130"/>
      <c r="N424" s="64">
        <v>0</v>
      </c>
      <c r="O424" s="64">
        <v>0</v>
      </c>
      <c r="P424" s="64">
        <v>0</v>
      </c>
      <c r="Q424" s="64">
        <v>1318.4</v>
      </c>
      <c r="R424" s="64">
        <v>1318.4</v>
      </c>
      <c r="S424" s="64">
        <v>1318.4</v>
      </c>
    </row>
    <row r="425" spans="1:19" s="137" customFormat="1" ht="51.75" customHeight="1">
      <c r="A425" s="127"/>
      <c r="B425" s="32" t="s">
        <v>1517</v>
      </c>
      <c r="C425" s="130"/>
      <c r="D425" s="135"/>
      <c r="E425" s="130"/>
      <c r="F425" s="130"/>
      <c r="G425" s="130"/>
      <c r="H425" s="130"/>
      <c r="I425" s="130"/>
      <c r="J425" s="130"/>
      <c r="K425" s="140" t="s">
        <v>810</v>
      </c>
      <c r="L425" s="130"/>
      <c r="M425" s="130"/>
      <c r="N425" s="64">
        <v>0</v>
      </c>
      <c r="O425" s="64">
        <v>0</v>
      </c>
      <c r="P425" s="64">
        <v>0</v>
      </c>
      <c r="Q425" s="64">
        <v>3008</v>
      </c>
      <c r="R425" s="64">
        <v>0</v>
      </c>
      <c r="S425" s="64">
        <v>0</v>
      </c>
    </row>
    <row r="426" spans="1:19" s="137" customFormat="1" ht="39" customHeight="1">
      <c r="A426" s="127"/>
      <c r="B426" s="32" t="s">
        <v>1518</v>
      </c>
      <c r="C426" s="130"/>
      <c r="D426" s="135"/>
      <c r="E426" s="130"/>
      <c r="F426" s="130"/>
      <c r="G426" s="130"/>
      <c r="H426" s="130"/>
      <c r="I426" s="130"/>
      <c r="J426" s="130"/>
      <c r="K426" s="140" t="s">
        <v>810</v>
      </c>
      <c r="L426" s="130"/>
      <c r="M426" s="130"/>
      <c r="N426" s="64">
        <v>0</v>
      </c>
      <c r="O426" s="64">
        <v>0</v>
      </c>
      <c r="P426" s="64">
        <v>0</v>
      </c>
      <c r="Q426" s="64">
        <v>15.4</v>
      </c>
      <c r="R426" s="64">
        <v>0</v>
      </c>
      <c r="S426" s="64">
        <v>0</v>
      </c>
    </row>
    <row r="427" spans="1:19" s="137" customFormat="1" ht="60.75" customHeight="1">
      <c r="A427" s="154"/>
      <c r="B427" s="102" t="s">
        <v>1519</v>
      </c>
      <c r="C427" s="151"/>
      <c r="D427" s="156"/>
      <c r="E427" s="157"/>
      <c r="F427" s="157"/>
      <c r="G427" s="157"/>
      <c r="H427" s="157"/>
      <c r="I427" s="157"/>
      <c r="J427" s="157"/>
      <c r="K427" s="140" t="s">
        <v>810</v>
      </c>
      <c r="L427" s="151"/>
      <c r="M427" s="151"/>
      <c r="N427" s="155">
        <v>0</v>
      </c>
      <c r="O427" s="155">
        <v>0</v>
      </c>
      <c r="P427" s="155">
        <v>0</v>
      </c>
      <c r="Q427" s="155">
        <v>1000</v>
      </c>
      <c r="R427" s="155">
        <v>1000</v>
      </c>
      <c r="S427" s="155">
        <v>1000</v>
      </c>
    </row>
    <row r="428" spans="1:19" s="137" customFormat="1" ht="81.75" customHeight="1">
      <c r="A428" s="199">
        <v>645</v>
      </c>
      <c r="B428" s="231" t="s">
        <v>1072</v>
      </c>
      <c r="C428" s="147"/>
      <c r="D428" s="203" t="s">
        <v>1469</v>
      </c>
      <c r="E428" s="191"/>
      <c r="F428" s="191"/>
      <c r="G428" s="191"/>
      <c r="H428" s="191" t="s">
        <v>1487</v>
      </c>
      <c r="I428" s="191" t="s">
        <v>1488</v>
      </c>
      <c r="J428" s="191" t="s">
        <v>1489</v>
      </c>
      <c r="K428" s="140" t="s">
        <v>1471</v>
      </c>
      <c r="L428" s="147" t="s">
        <v>86</v>
      </c>
      <c r="M428" s="147" t="s">
        <v>1476</v>
      </c>
      <c r="N428" s="298">
        <v>0</v>
      </c>
      <c r="O428" s="298">
        <v>0</v>
      </c>
      <c r="P428" s="298">
        <v>59.925</v>
      </c>
      <c r="Q428" s="298">
        <v>0</v>
      </c>
      <c r="R428" s="298">
        <v>0</v>
      </c>
      <c r="S428" s="298">
        <v>0</v>
      </c>
    </row>
    <row r="429" spans="1:19" s="137" customFormat="1" ht="86.25" customHeight="1">
      <c r="A429" s="200"/>
      <c r="B429" s="181"/>
      <c r="C429" s="147"/>
      <c r="D429" s="204"/>
      <c r="E429" s="192"/>
      <c r="F429" s="192"/>
      <c r="G429" s="193"/>
      <c r="H429" s="193"/>
      <c r="I429" s="193"/>
      <c r="J429" s="193"/>
      <c r="K429" s="140" t="s">
        <v>1472</v>
      </c>
      <c r="L429" s="147" t="s">
        <v>86</v>
      </c>
      <c r="M429" s="147" t="s">
        <v>1477</v>
      </c>
      <c r="N429" s="299"/>
      <c r="O429" s="299"/>
      <c r="P429" s="299"/>
      <c r="Q429" s="299"/>
      <c r="R429" s="299"/>
      <c r="S429" s="299"/>
    </row>
    <row r="430" spans="1:19" s="137" customFormat="1" ht="63.75" customHeight="1">
      <c r="A430" s="143">
        <v>646</v>
      </c>
      <c r="B430" s="32" t="s">
        <v>1073</v>
      </c>
      <c r="C430" s="147"/>
      <c r="D430" s="149" t="s">
        <v>224</v>
      </c>
      <c r="E430" s="147"/>
      <c r="F430" s="147"/>
      <c r="G430" s="147"/>
      <c r="H430" s="147"/>
      <c r="I430" s="147"/>
      <c r="J430" s="147"/>
      <c r="K430" s="140" t="s">
        <v>1473</v>
      </c>
      <c r="L430" s="147" t="s">
        <v>113</v>
      </c>
      <c r="M430" s="147" t="s">
        <v>1478</v>
      </c>
      <c r="N430" s="64">
        <v>0</v>
      </c>
      <c r="O430" s="64">
        <v>0</v>
      </c>
      <c r="P430" s="64">
        <v>9120</v>
      </c>
      <c r="Q430" s="64">
        <v>0</v>
      </c>
      <c r="R430" s="64">
        <v>0</v>
      </c>
      <c r="S430" s="64">
        <v>0</v>
      </c>
    </row>
    <row r="431" spans="1:19" s="137" customFormat="1" ht="100.5" customHeight="1">
      <c r="A431" s="143">
        <v>647</v>
      </c>
      <c r="B431" s="32" t="s">
        <v>1091</v>
      </c>
      <c r="C431" s="147"/>
      <c r="D431" s="149" t="s">
        <v>171</v>
      </c>
      <c r="E431" s="147"/>
      <c r="F431" s="147"/>
      <c r="G431" s="147"/>
      <c r="H431" s="130" t="s">
        <v>1487</v>
      </c>
      <c r="I431" s="130" t="s">
        <v>1488</v>
      </c>
      <c r="J431" s="130" t="s">
        <v>1489</v>
      </c>
      <c r="K431" s="142" t="s">
        <v>1474</v>
      </c>
      <c r="L431" s="147" t="s">
        <v>86</v>
      </c>
      <c r="M431" s="147" t="s">
        <v>1479</v>
      </c>
      <c r="N431" s="64">
        <v>0</v>
      </c>
      <c r="O431" s="64">
        <v>0</v>
      </c>
      <c r="P431" s="64">
        <v>150</v>
      </c>
      <c r="Q431" s="64">
        <v>0</v>
      </c>
      <c r="R431" s="64">
        <v>0</v>
      </c>
      <c r="S431" s="64">
        <v>0</v>
      </c>
    </row>
    <row r="432" spans="1:19" s="137" customFormat="1" ht="100.5" customHeight="1">
      <c r="A432" s="199">
        <v>329</v>
      </c>
      <c r="B432" s="231" t="s">
        <v>1096</v>
      </c>
      <c r="C432" s="147"/>
      <c r="D432" s="203" t="s">
        <v>148</v>
      </c>
      <c r="E432" s="191"/>
      <c r="F432" s="191"/>
      <c r="G432" s="191"/>
      <c r="H432" s="191"/>
      <c r="I432" s="191"/>
      <c r="J432" s="191"/>
      <c r="K432" s="139" t="s">
        <v>1480</v>
      </c>
      <c r="L432" s="150" t="s">
        <v>1484</v>
      </c>
      <c r="M432" s="150" t="s">
        <v>912</v>
      </c>
      <c r="N432" s="298">
        <v>0</v>
      </c>
      <c r="O432" s="298">
        <v>0</v>
      </c>
      <c r="P432" s="298">
        <v>25</v>
      </c>
      <c r="Q432" s="298">
        <v>0</v>
      </c>
      <c r="R432" s="298">
        <v>0</v>
      </c>
      <c r="S432" s="298">
        <v>0</v>
      </c>
    </row>
    <row r="433" spans="1:19" s="137" customFormat="1" ht="84.75" customHeight="1">
      <c r="A433" s="202"/>
      <c r="B433" s="182"/>
      <c r="C433" s="147"/>
      <c r="D433" s="206"/>
      <c r="E433" s="193"/>
      <c r="F433" s="193"/>
      <c r="G433" s="193"/>
      <c r="H433" s="193"/>
      <c r="I433" s="193"/>
      <c r="J433" s="193"/>
      <c r="K433" s="140" t="s">
        <v>1481</v>
      </c>
      <c r="L433" s="151" t="s">
        <v>194</v>
      </c>
      <c r="M433" s="151" t="s">
        <v>1485</v>
      </c>
      <c r="N433" s="299"/>
      <c r="O433" s="299"/>
      <c r="P433" s="299"/>
      <c r="Q433" s="299"/>
      <c r="R433" s="299"/>
      <c r="S433" s="299"/>
    </row>
    <row r="434" spans="1:19" s="137" customFormat="1" ht="97.5" customHeight="1">
      <c r="A434" s="199">
        <v>651</v>
      </c>
      <c r="B434" s="231" t="s">
        <v>1098</v>
      </c>
      <c r="C434" s="130"/>
      <c r="D434" s="309" t="s">
        <v>171</v>
      </c>
      <c r="E434" s="194"/>
      <c r="F434" s="194"/>
      <c r="G434" s="194"/>
      <c r="H434" s="194" t="s">
        <v>1487</v>
      </c>
      <c r="I434" s="194" t="s">
        <v>1488</v>
      </c>
      <c r="J434" s="194" t="s">
        <v>1489</v>
      </c>
      <c r="K434" s="139" t="s">
        <v>1482</v>
      </c>
      <c r="L434" s="130" t="s">
        <v>194</v>
      </c>
      <c r="M434" s="130" t="s">
        <v>1486</v>
      </c>
      <c r="N434" s="298">
        <v>0</v>
      </c>
      <c r="O434" s="298">
        <v>0</v>
      </c>
      <c r="P434" s="298">
        <v>59.76</v>
      </c>
      <c r="Q434" s="298">
        <v>0</v>
      </c>
      <c r="R434" s="298">
        <v>0</v>
      </c>
      <c r="S434" s="298">
        <v>0</v>
      </c>
    </row>
    <row r="435" spans="1:19" s="137" customFormat="1" ht="99.75" customHeight="1">
      <c r="A435" s="202"/>
      <c r="B435" s="182"/>
      <c r="C435" s="130"/>
      <c r="D435" s="310"/>
      <c r="E435" s="194"/>
      <c r="F435" s="194"/>
      <c r="G435" s="194"/>
      <c r="H435" s="194"/>
      <c r="I435" s="194"/>
      <c r="J435" s="194"/>
      <c r="K435" s="139" t="s">
        <v>1483</v>
      </c>
      <c r="L435" s="130" t="s">
        <v>194</v>
      </c>
      <c r="M435" s="130" t="s">
        <v>1486</v>
      </c>
      <c r="N435" s="299"/>
      <c r="O435" s="299"/>
      <c r="P435" s="299"/>
      <c r="Q435" s="299"/>
      <c r="R435" s="299"/>
      <c r="S435" s="299"/>
    </row>
    <row r="436" spans="1:19" s="137" customFormat="1" ht="64.5" customHeight="1">
      <c r="A436" s="127">
        <v>330</v>
      </c>
      <c r="B436" s="32" t="s">
        <v>1504</v>
      </c>
      <c r="C436" s="130"/>
      <c r="D436" s="135" t="s">
        <v>143</v>
      </c>
      <c r="E436" s="130"/>
      <c r="F436" s="130"/>
      <c r="G436" s="130"/>
      <c r="H436" s="130"/>
      <c r="I436" s="130"/>
      <c r="J436" s="130"/>
      <c r="K436" s="121" t="s">
        <v>1584</v>
      </c>
      <c r="L436" s="130" t="s">
        <v>1203</v>
      </c>
      <c r="M436" s="130" t="s">
        <v>1522</v>
      </c>
      <c r="N436" s="64">
        <v>0</v>
      </c>
      <c r="O436" s="64">
        <v>0</v>
      </c>
      <c r="P436" s="64">
        <v>356.132</v>
      </c>
      <c r="Q436" s="64">
        <v>0</v>
      </c>
      <c r="R436" s="64">
        <v>0</v>
      </c>
      <c r="S436" s="64">
        <v>0</v>
      </c>
    </row>
    <row r="437" spans="1:19" s="137" customFormat="1" ht="76.5" customHeight="1">
      <c r="A437" s="127">
        <v>331</v>
      </c>
      <c r="B437" s="32" t="s">
        <v>1505</v>
      </c>
      <c r="C437" s="130"/>
      <c r="D437" s="135" t="s">
        <v>143</v>
      </c>
      <c r="E437" s="130"/>
      <c r="F437" s="130"/>
      <c r="G437" s="130"/>
      <c r="H437" s="130"/>
      <c r="I437" s="130"/>
      <c r="J437" s="130"/>
      <c r="K437" s="121" t="s">
        <v>1525</v>
      </c>
      <c r="L437" s="130" t="s">
        <v>1203</v>
      </c>
      <c r="M437" s="130" t="s">
        <v>1526</v>
      </c>
      <c r="N437" s="64">
        <v>0</v>
      </c>
      <c r="O437" s="64">
        <v>0</v>
      </c>
      <c r="P437" s="64">
        <v>100</v>
      </c>
      <c r="Q437" s="64">
        <v>0</v>
      </c>
      <c r="R437" s="64">
        <v>0</v>
      </c>
      <c r="S437" s="64">
        <v>0</v>
      </c>
    </row>
    <row r="438" spans="1:19" s="137" customFormat="1" ht="75" customHeight="1">
      <c r="A438" s="127">
        <v>332</v>
      </c>
      <c r="B438" s="32" t="s">
        <v>1506</v>
      </c>
      <c r="C438" s="130"/>
      <c r="D438" s="135" t="s">
        <v>15</v>
      </c>
      <c r="E438" s="130"/>
      <c r="F438" s="130"/>
      <c r="G438" s="130"/>
      <c r="H438" s="130"/>
      <c r="I438" s="130"/>
      <c r="J438" s="130"/>
      <c r="K438" s="121" t="s">
        <v>1528</v>
      </c>
      <c r="L438" s="130" t="s">
        <v>1203</v>
      </c>
      <c r="M438" s="130" t="s">
        <v>1526</v>
      </c>
      <c r="N438" s="64">
        <v>0</v>
      </c>
      <c r="O438" s="64">
        <v>0</v>
      </c>
      <c r="P438" s="64">
        <v>78.49</v>
      </c>
      <c r="Q438" s="64">
        <v>0</v>
      </c>
      <c r="R438" s="64">
        <v>0</v>
      </c>
      <c r="S438" s="64">
        <v>0</v>
      </c>
    </row>
    <row r="439" spans="1:19" s="137" customFormat="1" ht="63" customHeight="1">
      <c r="A439" s="127">
        <v>652</v>
      </c>
      <c r="B439" s="32" t="s">
        <v>1507</v>
      </c>
      <c r="C439" s="130"/>
      <c r="D439" s="135" t="s">
        <v>1202</v>
      </c>
      <c r="E439" s="130"/>
      <c r="F439" s="130"/>
      <c r="G439" s="130"/>
      <c r="H439" s="130" t="s">
        <v>1487</v>
      </c>
      <c r="I439" s="130" t="s">
        <v>1488</v>
      </c>
      <c r="J439" s="130" t="s">
        <v>1489</v>
      </c>
      <c r="K439" s="121" t="s">
        <v>1520</v>
      </c>
      <c r="L439" s="130" t="s">
        <v>823</v>
      </c>
      <c r="M439" s="130" t="s">
        <v>1521</v>
      </c>
      <c r="N439" s="64">
        <v>0</v>
      </c>
      <c r="O439" s="64">
        <v>0</v>
      </c>
      <c r="P439" s="64">
        <v>60.696</v>
      </c>
      <c r="Q439" s="64">
        <v>0</v>
      </c>
      <c r="R439" s="64">
        <v>0</v>
      </c>
      <c r="S439" s="64">
        <v>0</v>
      </c>
    </row>
    <row r="440" spans="1:19" s="137" customFormat="1" ht="63.75" customHeight="1">
      <c r="A440" s="127">
        <v>653</v>
      </c>
      <c r="B440" s="32" t="s">
        <v>1508</v>
      </c>
      <c r="C440" s="130"/>
      <c r="D440" s="135" t="s">
        <v>305</v>
      </c>
      <c r="E440" s="130"/>
      <c r="F440" s="130"/>
      <c r="G440" s="130"/>
      <c r="H440" s="130" t="s">
        <v>1487</v>
      </c>
      <c r="I440" s="130" t="s">
        <v>1488</v>
      </c>
      <c r="J440" s="130" t="s">
        <v>1489</v>
      </c>
      <c r="K440" s="121" t="s">
        <v>1531</v>
      </c>
      <c r="L440" s="130" t="s">
        <v>11</v>
      </c>
      <c r="M440" s="130" t="s">
        <v>1532</v>
      </c>
      <c r="N440" s="64">
        <v>0</v>
      </c>
      <c r="O440" s="64">
        <v>0</v>
      </c>
      <c r="P440" s="64">
        <v>37.47</v>
      </c>
      <c r="Q440" s="64">
        <v>0</v>
      </c>
      <c r="R440" s="64">
        <v>0</v>
      </c>
      <c r="S440" s="64">
        <v>0</v>
      </c>
    </row>
    <row r="441" spans="1:19" s="6" customFormat="1" ht="99" customHeight="1">
      <c r="A441" s="38">
        <v>657</v>
      </c>
      <c r="B441" s="32" t="s">
        <v>1510</v>
      </c>
      <c r="C441" s="12"/>
      <c r="D441" s="72" t="s">
        <v>305</v>
      </c>
      <c r="E441" s="7"/>
      <c r="F441" s="7"/>
      <c r="G441" s="7"/>
      <c r="H441" s="130" t="s">
        <v>1487</v>
      </c>
      <c r="I441" s="130" t="s">
        <v>1488</v>
      </c>
      <c r="J441" s="130" t="s">
        <v>1489</v>
      </c>
      <c r="K441" s="29" t="s">
        <v>1540</v>
      </c>
      <c r="L441" s="29" t="s">
        <v>86</v>
      </c>
      <c r="M441" s="29" t="s">
        <v>1539</v>
      </c>
      <c r="N441" s="51">
        <v>0</v>
      </c>
      <c r="O441" s="51">
        <v>0</v>
      </c>
      <c r="P441" s="51">
        <v>60</v>
      </c>
      <c r="Q441" s="51">
        <v>0</v>
      </c>
      <c r="R441" s="51">
        <v>0</v>
      </c>
      <c r="S441" s="51">
        <v>0</v>
      </c>
    </row>
    <row r="442" spans="1:19" s="137" customFormat="1" ht="123" customHeight="1">
      <c r="A442" s="199">
        <v>655</v>
      </c>
      <c r="B442" s="307" t="s">
        <v>1509</v>
      </c>
      <c r="C442" s="130"/>
      <c r="D442" s="203" t="s">
        <v>171</v>
      </c>
      <c r="E442" s="191"/>
      <c r="F442" s="191"/>
      <c r="G442" s="191"/>
      <c r="H442" s="191" t="s">
        <v>1535</v>
      </c>
      <c r="I442" s="191" t="s">
        <v>194</v>
      </c>
      <c r="J442" s="191" t="s">
        <v>1536</v>
      </c>
      <c r="K442" s="139" t="s">
        <v>1533</v>
      </c>
      <c r="L442" s="132" t="s">
        <v>113</v>
      </c>
      <c r="M442" s="132" t="s">
        <v>1534</v>
      </c>
      <c r="N442" s="159">
        <v>0</v>
      </c>
      <c r="O442" s="159">
        <v>0</v>
      </c>
      <c r="P442" s="159">
        <v>20486.55</v>
      </c>
      <c r="Q442" s="159">
        <v>0</v>
      </c>
      <c r="R442" s="159">
        <v>0</v>
      </c>
      <c r="S442" s="159">
        <v>0</v>
      </c>
    </row>
    <row r="443" spans="1:19" s="137" customFormat="1" ht="125.25" customHeight="1">
      <c r="A443" s="202"/>
      <c r="B443" s="308"/>
      <c r="C443" s="130"/>
      <c r="D443" s="206"/>
      <c r="E443" s="193"/>
      <c r="F443" s="193"/>
      <c r="G443" s="193"/>
      <c r="H443" s="193"/>
      <c r="I443" s="193"/>
      <c r="J443" s="193"/>
      <c r="K443" s="140" t="s">
        <v>1550</v>
      </c>
      <c r="L443" s="133" t="s">
        <v>113</v>
      </c>
      <c r="M443" s="133" t="s">
        <v>1534</v>
      </c>
      <c r="N443" s="160"/>
      <c r="O443" s="160"/>
      <c r="P443" s="160"/>
      <c r="Q443" s="160"/>
      <c r="R443" s="160"/>
      <c r="S443" s="160"/>
    </row>
    <row r="444" spans="1:19" s="137" customFormat="1" ht="77.25" customHeight="1">
      <c r="A444" s="127">
        <v>333</v>
      </c>
      <c r="B444" s="32" t="s">
        <v>1545</v>
      </c>
      <c r="C444" s="130"/>
      <c r="D444" s="135" t="s">
        <v>247</v>
      </c>
      <c r="E444" s="130"/>
      <c r="F444" s="130"/>
      <c r="G444" s="130"/>
      <c r="H444" s="130"/>
      <c r="I444" s="130"/>
      <c r="J444" s="130"/>
      <c r="K444" s="139" t="s">
        <v>1543</v>
      </c>
      <c r="L444" s="130" t="s">
        <v>1203</v>
      </c>
      <c r="M444" s="130" t="s">
        <v>1544</v>
      </c>
      <c r="N444" s="64">
        <v>0</v>
      </c>
      <c r="O444" s="64">
        <v>0</v>
      </c>
      <c r="P444" s="64">
        <v>100</v>
      </c>
      <c r="Q444" s="64">
        <v>0</v>
      </c>
      <c r="R444" s="64">
        <v>0</v>
      </c>
      <c r="S444" s="64">
        <v>0</v>
      </c>
    </row>
    <row r="445" spans="1:19" s="137" customFormat="1" ht="75" customHeight="1">
      <c r="A445" s="143">
        <v>334</v>
      </c>
      <c r="B445" s="32" t="s">
        <v>1585</v>
      </c>
      <c r="C445" s="147"/>
      <c r="D445" s="161" t="s">
        <v>171</v>
      </c>
      <c r="E445" s="133"/>
      <c r="F445" s="133"/>
      <c r="G445" s="130"/>
      <c r="H445" s="130"/>
      <c r="I445" s="130"/>
      <c r="J445" s="130"/>
      <c r="K445" s="139" t="s">
        <v>1546</v>
      </c>
      <c r="L445" s="130" t="s">
        <v>1203</v>
      </c>
      <c r="M445" s="130" t="s">
        <v>1544</v>
      </c>
      <c r="N445" s="64">
        <v>0</v>
      </c>
      <c r="O445" s="64">
        <v>0</v>
      </c>
      <c r="P445" s="64">
        <v>142</v>
      </c>
      <c r="Q445" s="64">
        <v>0</v>
      </c>
      <c r="R445" s="64">
        <v>0</v>
      </c>
      <c r="S445" s="64">
        <v>0</v>
      </c>
    </row>
    <row r="446" spans="1:19" s="137" customFormat="1" ht="100.5" customHeight="1">
      <c r="A446" s="127">
        <v>659</v>
      </c>
      <c r="B446" s="32" t="s">
        <v>1547</v>
      </c>
      <c r="C446" s="130"/>
      <c r="D446" s="135" t="s">
        <v>296</v>
      </c>
      <c r="E446" s="130"/>
      <c r="F446" s="130"/>
      <c r="G446" s="130"/>
      <c r="H446" s="130" t="s">
        <v>1487</v>
      </c>
      <c r="I446" s="130" t="s">
        <v>1488</v>
      </c>
      <c r="J446" s="130" t="s">
        <v>1489</v>
      </c>
      <c r="K446" s="121" t="s">
        <v>1548</v>
      </c>
      <c r="L446" s="130" t="s">
        <v>113</v>
      </c>
      <c r="M446" s="130" t="s">
        <v>1549</v>
      </c>
      <c r="N446" s="64">
        <v>0</v>
      </c>
      <c r="O446" s="64">
        <v>0</v>
      </c>
      <c r="P446" s="64">
        <v>500</v>
      </c>
      <c r="Q446" s="64">
        <v>0</v>
      </c>
      <c r="R446" s="64">
        <v>0</v>
      </c>
      <c r="S446" s="64">
        <v>0</v>
      </c>
    </row>
    <row r="447" spans="1:19" s="2" customFormat="1" ht="24" customHeight="1">
      <c r="A447" s="38" t="s">
        <v>173</v>
      </c>
      <c r="B447" s="174" t="s">
        <v>1613</v>
      </c>
      <c r="C447" s="175"/>
      <c r="D447" s="175"/>
      <c r="E447" s="175"/>
      <c r="F447" s="175"/>
      <c r="G447" s="175"/>
      <c r="H447" s="175"/>
      <c r="I447" s="175"/>
      <c r="J447" s="175"/>
      <c r="K447" s="175"/>
      <c r="L447" s="175"/>
      <c r="M447" s="176"/>
      <c r="N447" s="50">
        <f>SUM(N448:N497)</f>
        <v>330751.804</v>
      </c>
      <c r="O447" s="50">
        <f>SUM(O448:O497)</f>
        <v>315070.28560000006</v>
      </c>
      <c r="P447" s="50">
        <f>SUM(P448:P497)</f>
        <v>449601.19531</v>
      </c>
      <c r="Q447" s="50">
        <f>SUM(Q448:Q497)</f>
        <v>443583.7</v>
      </c>
      <c r="R447" s="50">
        <f>SUM(R448:R497)</f>
        <v>449813.89999999997</v>
      </c>
      <c r="S447" s="50">
        <f>SUM(S448:S497)</f>
        <v>460155.2</v>
      </c>
    </row>
    <row r="448" spans="1:19" s="3" customFormat="1" ht="99.75" customHeight="1">
      <c r="A448" s="41" t="s">
        <v>360</v>
      </c>
      <c r="B448" s="24" t="s">
        <v>322</v>
      </c>
      <c r="C448" s="15"/>
      <c r="D448" s="48"/>
      <c r="E448" s="21" t="s">
        <v>477</v>
      </c>
      <c r="F448" s="21" t="s">
        <v>1618</v>
      </c>
      <c r="G448" s="21" t="s">
        <v>1188</v>
      </c>
      <c r="H448" s="21" t="s">
        <v>478</v>
      </c>
      <c r="I448" s="21" t="s">
        <v>1619</v>
      </c>
      <c r="J448" s="21" t="s">
        <v>473</v>
      </c>
      <c r="K448" s="23" t="s">
        <v>863</v>
      </c>
      <c r="L448" s="23" t="s">
        <v>245</v>
      </c>
      <c r="M448" s="23" t="s">
        <v>864</v>
      </c>
      <c r="N448" s="171">
        <f>854000/1000</f>
        <v>854</v>
      </c>
      <c r="O448" s="171">
        <f>854000/1000</f>
        <v>854</v>
      </c>
      <c r="P448" s="171">
        <v>886</v>
      </c>
      <c r="Q448" s="171">
        <v>939</v>
      </c>
      <c r="R448" s="172">
        <v>978</v>
      </c>
      <c r="S448" s="172">
        <v>978</v>
      </c>
    </row>
    <row r="449" spans="1:19" s="3" customFormat="1" ht="109.5" customHeight="1">
      <c r="A449" s="40" t="s">
        <v>361</v>
      </c>
      <c r="B449" s="25" t="s">
        <v>329</v>
      </c>
      <c r="C449" s="12"/>
      <c r="D449" s="45" t="s">
        <v>199</v>
      </c>
      <c r="E449" s="21" t="s">
        <v>474</v>
      </c>
      <c r="F449" s="21" t="s">
        <v>1189</v>
      </c>
      <c r="G449" s="21" t="s">
        <v>476</v>
      </c>
      <c r="H449" s="21" t="s">
        <v>479</v>
      </c>
      <c r="I449" s="21" t="s">
        <v>210</v>
      </c>
      <c r="J449" s="21" t="s">
        <v>211</v>
      </c>
      <c r="K449" s="21" t="s">
        <v>865</v>
      </c>
      <c r="L449" s="83" t="s">
        <v>299</v>
      </c>
      <c r="M449" s="83" t="s">
        <v>330</v>
      </c>
      <c r="N449" s="53">
        <f>123000/1000</f>
        <v>123</v>
      </c>
      <c r="O449" s="53">
        <f>123000/1000</f>
        <v>123</v>
      </c>
      <c r="P449" s="53">
        <v>128</v>
      </c>
      <c r="Q449" s="53">
        <v>157</v>
      </c>
      <c r="R449" s="56">
        <v>164</v>
      </c>
      <c r="S449" s="56">
        <v>164</v>
      </c>
    </row>
    <row r="450" spans="1:19" s="3" customFormat="1" ht="23.25" customHeight="1" hidden="1">
      <c r="A450" s="39" t="s">
        <v>362</v>
      </c>
      <c r="B450" s="11" t="s">
        <v>363</v>
      </c>
      <c r="C450" s="12"/>
      <c r="D450" s="44"/>
      <c r="E450" s="7"/>
      <c r="F450" s="7"/>
      <c r="G450" s="7"/>
      <c r="H450" s="7"/>
      <c r="I450" s="7"/>
      <c r="J450" s="7"/>
      <c r="K450" s="7"/>
      <c r="L450" s="10"/>
      <c r="M450" s="10"/>
      <c r="N450" s="53"/>
      <c r="O450" s="53"/>
      <c r="P450" s="53"/>
      <c r="Q450" s="53"/>
      <c r="R450" s="56"/>
      <c r="S450" s="56"/>
    </row>
    <row r="451" spans="1:19" s="3" customFormat="1" ht="21.75" customHeight="1">
      <c r="A451" s="227" t="s">
        <v>364</v>
      </c>
      <c r="B451" s="195" t="s">
        <v>365</v>
      </c>
      <c r="C451" s="12"/>
      <c r="D451" s="212" t="s">
        <v>206</v>
      </c>
      <c r="E451" s="215" t="s">
        <v>480</v>
      </c>
      <c r="F451" s="215" t="s">
        <v>57</v>
      </c>
      <c r="G451" s="215" t="s">
        <v>481</v>
      </c>
      <c r="H451" s="215" t="s">
        <v>482</v>
      </c>
      <c r="I451" s="215" t="s">
        <v>483</v>
      </c>
      <c r="J451" s="215" t="s">
        <v>211</v>
      </c>
      <c r="K451" s="215" t="s">
        <v>866</v>
      </c>
      <c r="L451" s="228" t="s">
        <v>332</v>
      </c>
      <c r="M451" s="228" t="s">
        <v>289</v>
      </c>
      <c r="N451" s="53">
        <f>7137000/1000</f>
        <v>7137</v>
      </c>
      <c r="O451" s="53">
        <f>6797480.52/1000</f>
        <v>6797.480519999999</v>
      </c>
      <c r="P451" s="185">
        <f>(15810500+9972000+14289700)/1000</f>
        <v>40072.2</v>
      </c>
      <c r="Q451" s="185">
        <v>47878.8</v>
      </c>
      <c r="R451" s="188">
        <v>56028.2</v>
      </c>
      <c r="S451" s="188">
        <v>61891</v>
      </c>
    </row>
    <row r="452" spans="1:19" s="3" customFormat="1" ht="21.75" customHeight="1">
      <c r="A452" s="183"/>
      <c r="B452" s="196"/>
      <c r="C452" s="12"/>
      <c r="D452" s="213"/>
      <c r="E452" s="216"/>
      <c r="F452" s="216"/>
      <c r="G452" s="216"/>
      <c r="H452" s="216"/>
      <c r="I452" s="216"/>
      <c r="J452" s="216"/>
      <c r="K452" s="216"/>
      <c r="L452" s="229"/>
      <c r="M452" s="229"/>
      <c r="N452" s="54">
        <f>9612000/1000</f>
        <v>9612</v>
      </c>
      <c r="O452" s="54">
        <f>9134292.81/1000</f>
        <v>9134.29281</v>
      </c>
      <c r="P452" s="186"/>
      <c r="Q452" s="186"/>
      <c r="R452" s="190"/>
      <c r="S452" s="190"/>
    </row>
    <row r="453" spans="1:19" s="3" customFormat="1" ht="21.75" customHeight="1">
      <c r="A453" s="183"/>
      <c r="B453" s="196"/>
      <c r="C453" s="12"/>
      <c r="D453" s="213"/>
      <c r="E453" s="216"/>
      <c r="F453" s="216"/>
      <c r="G453" s="216"/>
      <c r="H453" s="216"/>
      <c r="I453" s="216"/>
      <c r="J453" s="216"/>
      <c r="K453" s="216"/>
      <c r="L453" s="229"/>
      <c r="M453" s="229"/>
      <c r="N453" s="54">
        <f>2175400/1000</f>
        <v>2175.4</v>
      </c>
      <c r="O453" s="54">
        <f>2175400/1000</f>
        <v>2175.4</v>
      </c>
      <c r="P453" s="186"/>
      <c r="Q453" s="186"/>
      <c r="R453" s="190"/>
      <c r="S453" s="190"/>
    </row>
    <row r="454" spans="1:19" s="3" customFormat="1" ht="21.75" customHeight="1">
      <c r="A454" s="183"/>
      <c r="B454" s="196"/>
      <c r="C454" s="12"/>
      <c r="D454" s="213"/>
      <c r="E454" s="216"/>
      <c r="F454" s="216"/>
      <c r="G454" s="216"/>
      <c r="H454" s="216"/>
      <c r="I454" s="216"/>
      <c r="J454" s="216"/>
      <c r="K454" s="216"/>
      <c r="L454" s="229"/>
      <c r="M454" s="229"/>
      <c r="N454" s="54">
        <f>4508000/1000</f>
        <v>4508</v>
      </c>
      <c r="O454" s="54">
        <f>4508000/1000</f>
        <v>4508</v>
      </c>
      <c r="P454" s="186"/>
      <c r="Q454" s="186"/>
      <c r="R454" s="190"/>
      <c r="S454" s="190"/>
    </row>
    <row r="455" spans="1:19" s="3" customFormat="1" ht="21.75" customHeight="1">
      <c r="A455" s="183"/>
      <c r="B455" s="196"/>
      <c r="C455" s="12"/>
      <c r="D455" s="213"/>
      <c r="E455" s="216"/>
      <c r="F455" s="216"/>
      <c r="G455" s="216"/>
      <c r="H455" s="216"/>
      <c r="I455" s="216"/>
      <c r="J455" s="216"/>
      <c r="K455" s="216"/>
      <c r="L455" s="229"/>
      <c r="M455" s="229"/>
      <c r="N455" s="54">
        <f>11524000/1000</f>
        <v>11524</v>
      </c>
      <c r="O455" s="54">
        <f>10523227.25/1000</f>
        <v>10523.22725</v>
      </c>
      <c r="P455" s="186"/>
      <c r="Q455" s="186"/>
      <c r="R455" s="190"/>
      <c r="S455" s="190"/>
    </row>
    <row r="456" spans="1:19" s="3" customFormat="1" ht="21.75" customHeight="1">
      <c r="A456" s="184"/>
      <c r="B456" s="198"/>
      <c r="C456" s="12"/>
      <c r="D456" s="214"/>
      <c r="E456" s="217"/>
      <c r="F456" s="217"/>
      <c r="G456" s="217"/>
      <c r="H456" s="217"/>
      <c r="I456" s="217"/>
      <c r="J456" s="217"/>
      <c r="K456" s="217"/>
      <c r="L456" s="230"/>
      <c r="M456" s="230"/>
      <c r="N456" s="59">
        <f>4713700/1000</f>
        <v>4713.7</v>
      </c>
      <c r="O456" s="59">
        <f>4713700/1000</f>
        <v>4713.7</v>
      </c>
      <c r="P456" s="187"/>
      <c r="Q456" s="187"/>
      <c r="R456" s="189"/>
      <c r="S456" s="189"/>
    </row>
    <row r="457" spans="1:19" s="3" customFormat="1" ht="86.25" customHeight="1">
      <c r="A457" s="40" t="s">
        <v>366</v>
      </c>
      <c r="B457" s="25" t="s">
        <v>307</v>
      </c>
      <c r="C457" s="12"/>
      <c r="D457" s="45" t="s">
        <v>317</v>
      </c>
      <c r="E457" s="21" t="s">
        <v>34</v>
      </c>
      <c r="F457" s="21" t="s">
        <v>1190</v>
      </c>
      <c r="G457" s="21" t="s">
        <v>1116</v>
      </c>
      <c r="H457" s="21" t="s">
        <v>484</v>
      </c>
      <c r="I457" s="21" t="s">
        <v>94</v>
      </c>
      <c r="J457" s="21" t="s">
        <v>211</v>
      </c>
      <c r="K457" s="21" t="s">
        <v>867</v>
      </c>
      <c r="L457" s="83" t="s">
        <v>194</v>
      </c>
      <c r="M457" s="83" t="s">
        <v>326</v>
      </c>
      <c r="N457" s="53">
        <f>21158000/1000</f>
        <v>21158</v>
      </c>
      <c r="O457" s="53">
        <v>21158</v>
      </c>
      <c r="P457" s="53">
        <v>25133</v>
      </c>
      <c r="Q457" s="53">
        <v>29849</v>
      </c>
      <c r="R457" s="56">
        <v>32884</v>
      </c>
      <c r="S457" s="56">
        <v>35939</v>
      </c>
    </row>
    <row r="458" spans="1:19" s="3" customFormat="1" ht="50.25" customHeight="1">
      <c r="A458" s="205" t="s">
        <v>1552</v>
      </c>
      <c r="B458" s="32" t="s">
        <v>395</v>
      </c>
      <c r="C458" s="130"/>
      <c r="D458" s="135" t="s">
        <v>148</v>
      </c>
      <c r="E458" s="194" t="s">
        <v>515</v>
      </c>
      <c r="F458" s="194" t="s">
        <v>1191</v>
      </c>
      <c r="G458" s="215" t="s">
        <v>79</v>
      </c>
      <c r="H458" s="215" t="s">
        <v>485</v>
      </c>
      <c r="I458" s="215" t="s">
        <v>271</v>
      </c>
      <c r="J458" s="215" t="s">
        <v>44</v>
      </c>
      <c r="K458" s="215" t="s">
        <v>1620</v>
      </c>
      <c r="L458" s="21" t="s">
        <v>245</v>
      </c>
      <c r="M458" s="215" t="s">
        <v>288</v>
      </c>
      <c r="N458" s="53">
        <f>96600/1000</f>
        <v>96.6</v>
      </c>
      <c r="O458" s="53">
        <f>96600/1000</f>
        <v>96.6</v>
      </c>
      <c r="P458" s="53">
        <f>0.145+11.293</f>
        <v>11.437999999999999</v>
      </c>
      <c r="Q458" s="53">
        <v>102.9</v>
      </c>
      <c r="R458" s="56">
        <v>102.9</v>
      </c>
      <c r="S458" s="56">
        <v>102.9</v>
      </c>
    </row>
    <row r="459" spans="1:19" s="3" customFormat="1" ht="48.75" customHeight="1">
      <c r="A459" s="256"/>
      <c r="B459" s="11" t="s">
        <v>396</v>
      </c>
      <c r="C459" s="15"/>
      <c r="D459" s="44" t="s">
        <v>148</v>
      </c>
      <c r="E459" s="216"/>
      <c r="F459" s="216"/>
      <c r="G459" s="216"/>
      <c r="H459" s="216"/>
      <c r="I459" s="216"/>
      <c r="J459" s="216"/>
      <c r="K459" s="216"/>
      <c r="L459" s="7" t="s">
        <v>245</v>
      </c>
      <c r="M459" s="216"/>
      <c r="N459" s="51">
        <f>31750/1000</f>
        <v>31.75</v>
      </c>
      <c r="O459" s="51">
        <f>31750/1000</f>
        <v>31.75</v>
      </c>
      <c r="P459" s="51">
        <v>55</v>
      </c>
      <c r="Q459" s="51">
        <v>35.8</v>
      </c>
      <c r="R459" s="52">
        <v>41.3</v>
      </c>
      <c r="S459" s="52">
        <v>41.3</v>
      </c>
    </row>
    <row r="460" spans="1:19" s="3" customFormat="1" ht="37.5" customHeight="1">
      <c r="A460" s="256"/>
      <c r="B460" s="11" t="s">
        <v>397</v>
      </c>
      <c r="C460" s="15"/>
      <c r="D460" s="44" t="s">
        <v>148</v>
      </c>
      <c r="E460" s="216"/>
      <c r="F460" s="216"/>
      <c r="G460" s="216"/>
      <c r="H460" s="216"/>
      <c r="I460" s="216"/>
      <c r="J460" s="216"/>
      <c r="K460" s="216"/>
      <c r="L460" s="7" t="s">
        <v>245</v>
      </c>
      <c r="M460" s="216"/>
      <c r="N460" s="51">
        <f>158000/1000</f>
        <v>158</v>
      </c>
      <c r="O460" s="51">
        <f>158000/1000</f>
        <v>158</v>
      </c>
      <c r="P460" s="51">
        <v>158</v>
      </c>
      <c r="Q460" s="51">
        <v>12</v>
      </c>
      <c r="R460" s="52">
        <v>62.4</v>
      </c>
      <c r="S460" s="52">
        <v>62.4</v>
      </c>
    </row>
    <row r="461" spans="1:19" s="3" customFormat="1" ht="36.75" customHeight="1">
      <c r="A461" s="256"/>
      <c r="B461" s="11" t="s">
        <v>398</v>
      </c>
      <c r="C461" s="15"/>
      <c r="D461" s="44" t="s">
        <v>148</v>
      </c>
      <c r="E461" s="216"/>
      <c r="F461" s="216"/>
      <c r="G461" s="216"/>
      <c r="H461" s="216"/>
      <c r="I461" s="216"/>
      <c r="J461" s="216"/>
      <c r="K461" s="216"/>
      <c r="L461" s="7" t="s">
        <v>245</v>
      </c>
      <c r="M461" s="216"/>
      <c r="N461" s="51">
        <f>677000/1000</f>
        <v>677</v>
      </c>
      <c r="O461" s="51">
        <f>677000/1000</f>
        <v>677</v>
      </c>
      <c r="P461" s="51">
        <v>703</v>
      </c>
      <c r="Q461" s="51">
        <v>744</v>
      </c>
      <c r="R461" s="52">
        <v>775</v>
      </c>
      <c r="S461" s="52">
        <v>775</v>
      </c>
    </row>
    <row r="462" spans="1:19" s="3" customFormat="1" ht="135.75" customHeight="1">
      <c r="A462" s="256"/>
      <c r="B462" s="11" t="s">
        <v>526</v>
      </c>
      <c r="C462" s="15"/>
      <c r="D462" s="44" t="s">
        <v>148</v>
      </c>
      <c r="E462" s="216"/>
      <c r="F462" s="216"/>
      <c r="G462" s="216"/>
      <c r="H462" s="216"/>
      <c r="I462" s="216"/>
      <c r="J462" s="216"/>
      <c r="K462" s="216"/>
      <c r="L462" s="7" t="s">
        <v>245</v>
      </c>
      <c r="M462" s="216"/>
      <c r="N462" s="53">
        <f>890000/1000</f>
        <v>890</v>
      </c>
      <c r="O462" s="53">
        <f>890000/1000</f>
        <v>890</v>
      </c>
      <c r="P462" s="53">
        <v>492</v>
      </c>
      <c r="Q462" s="53">
        <v>0</v>
      </c>
      <c r="R462" s="56">
        <v>0</v>
      </c>
      <c r="S462" s="56">
        <v>0</v>
      </c>
    </row>
    <row r="463" spans="1:19" s="3" customFormat="1" ht="63.75" customHeight="1">
      <c r="A463" s="256"/>
      <c r="B463" s="32" t="s">
        <v>962</v>
      </c>
      <c r="C463" s="15"/>
      <c r="D463" s="44" t="s">
        <v>148</v>
      </c>
      <c r="E463" s="216"/>
      <c r="F463" s="216"/>
      <c r="G463" s="216"/>
      <c r="H463" s="216"/>
      <c r="I463" s="216"/>
      <c r="J463" s="216"/>
      <c r="K463" s="216"/>
      <c r="L463" s="7" t="s">
        <v>245</v>
      </c>
      <c r="M463" s="216"/>
      <c r="N463" s="53"/>
      <c r="O463" s="53"/>
      <c r="P463" s="53">
        <v>988.232</v>
      </c>
      <c r="Q463" s="53">
        <v>1100</v>
      </c>
      <c r="R463" s="56">
        <v>1100</v>
      </c>
      <c r="S463" s="56">
        <v>1100</v>
      </c>
    </row>
    <row r="464" spans="1:19" s="3" customFormat="1" ht="134.25" customHeight="1">
      <c r="A464" s="256"/>
      <c r="B464" s="11" t="s">
        <v>399</v>
      </c>
      <c r="C464" s="12"/>
      <c r="D464" s="44" t="s">
        <v>148</v>
      </c>
      <c r="E464" s="216"/>
      <c r="F464" s="216"/>
      <c r="G464" s="216"/>
      <c r="H464" s="216"/>
      <c r="I464" s="216"/>
      <c r="J464" s="216"/>
      <c r="K464" s="216"/>
      <c r="L464" s="7" t="s">
        <v>245</v>
      </c>
      <c r="M464" s="216"/>
      <c r="N464" s="53">
        <f>46800/1000</f>
        <v>46.8</v>
      </c>
      <c r="O464" s="53">
        <f>46800/1000</f>
        <v>46.8</v>
      </c>
      <c r="P464" s="53">
        <v>25.895</v>
      </c>
      <c r="Q464" s="53">
        <v>88.9</v>
      </c>
      <c r="R464" s="56">
        <v>88.9</v>
      </c>
      <c r="S464" s="56">
        <v>88.9</v>
      </c>
    </row>
    <row r="465" spans="1:19" s="3" customFormat="1" ht="23.25" customHeight="1" hidden="1">
      <c r="A465" s="42" t="s">
        <v>368</v>
      </c>
      <c r="B465" s="11" t="s">
        <v>367</v>
      </c>
      <c r="C465" s="15"/>
      <c r="D465" s="44"/>
      <c r="E465" s="7"/>
      <c r="F465" s="7"/>
      <c r="G465" s="7"/>
      <c r="H465" s="7"/>
      <c r="I465" s="7"/>
      <c r="J465" s="7"/>
      <c r="K465" s="7"/>
      <c r="L465" s="7"/>
      <c r="M465" s="23"/>
      <c r="N465" s="53"/>
      <c r="O465" s="53"/>
      <c r="P465" s="53"/>
      <c r="Q465" s="53"/>
      <c r="R465" s="56"/>
      <c r="S465" s="56"/>
    </row>
    <row r="466" spans="1:19" s="3" customFormat="1" ht="28.5" customHeight="1">
      <c r="A466" s="248" t="s">
        <v>369</v>
      </c>
      <c r="B466" s="254" t="s">
        <v>325</v>
      </c>
      <c r="C466" s="258"/>
      <c r="D466" s="45" t="s">
        <v>222</v>
      </c>
      <c r="E466" s="211" t="s">
        <v>267</v>
      </c>
      <c r="F466" s="211" t="s">
        <v>57</v>
      </c>
      <c r="G466" s="211" t="s">
        <v>1172</v>
      </c>
      <c r="H466" s="215" t="s">
        <v>486</v>
      </c>
      <c r="I466" s="215" t="s">
        <v>80</v>
      </c>
      <c r="J466" s="215" t="s">
        <v>56</v>
      </c>
      <c r="K466" s="215" t="s">
        <v>868</v>
      </c>
      <c r="L466" s="215" t="s">
        <v>11</v>
      </c>
      <c r="M466" s="228" t="s">
        <v>869</v>
      </c>
      <c r="N466" s="53">
        <f>4644000/1000</f>
        <v>4644</v>
      </c>
      <c r="O466" s="53">
        <f>3787785.91/1000</f>
        <v>3787.78591</v>
      </c>
      <c r="P466" s="53">
        <f>27+3654</f>
        <v>3681</v>
      </c>
      <c r="Q466" s="185">
        <v>18118</v>
      </c>
      <c r="R466" s="185">
        <v>18118</v>
      </c>
      <c r="S466" s="185">
        <v>18118</v>
      </c>
    </row>
    <row r="467" spans="1:19" s="3" customFormat="1" ht="28.5" customHeight="1">
      <c r="A467" s="248"/>
      <c r="B467" s="254"/>
      <c r="C467" s="258"/>
      <c r="D467" s="46" t="s">
        <v>16</v>
      </c>
      <c r="E467" s="211"/>
      <c r="F467" s="211"/>
      <c r="G467" s="211"/>
      <c r="H467" s="216"/>
      <c r="I467" s="216"/>
      <c r="J467" s="216"/>
      <c r="K467" s="216"/>
      <c r="L467" s="216"/>
      <c r="M467" s="229"/>
      <c r="N467" s="54">
        <f>15091000/1000</f>
        <v>15091</v>
      </c>
      <c r="O467" s="54">
        <f>12100905.48/1000</f>
        <v>12100.905480000001</v>
      </c>
      <c r="P467" s="54">
        <f>1086.96739+10766.03261</f>
        <v>11853</v>
      </c>
      <c r="Q467" s="186"/>
      <c r="R467" s="186"/>
      <c r="S467" s="186"/>
    </row>
    <row r="468" spans="1:19" s="3" customFormat="1" ht="28.5" customHeight="1">
      <c r="A468" s="248"/>
      <c r="B468" s="254"/>
      <c r="C468" s="258"/>
      <c r="D468" s="46" t="s">
        <v>16</v>
      </c>
      <c r="E468" s="211"/>
      <c r="F468" s="211"/>
      <c r="G468" s="211"/>
      <c r="H468" s="217"/>
      <c r="I468" s="217"/>
      <c r="J468" s="217"/>
      <c r="K468" s="217"/>
      <c r="L468" s="217"/>
      <c r="M468" s="230"/>
      <c r="N468" s="54">
        <f>3158000/1000</f>
        <v>3158</v>
      </c>
      <c r="O468" s="54">
        <f>2496806.69/1000</f>
        <v>2496.80669</v>
      </c>
      <c r="P468" s="54">
        <v>2368</v>
      </c>
      <c r="Q468" s="187"/>
      <c r="R468" s="187"/>
      <c r="S468" s="187"/>
    </row>
    <row r="469" spans="1:19" s="3" customFormat="1" ht="233.25" customHeight="1">
      <c r="A469" s="39" t="s">
        <v>370</v>
      </c>
      <c r="B469" s="11" t="s">
        <v>338</v>
      </c>
      <c r="C469" s="12"/>
      <c r="D469" s="44" t="s">
        <v>16</v>
      </c>
      <c r="E469" s="7" t="s">
        <v>487</v>
      </c>
      <c r="F469" s="7" t="s">
        <v>71</v>
      </c>
      <c r="G469" s="7" t="s">
        <v>488</v>
      </c>
      <c r="H469" s="7" t="s">
        <v>489</v>
      </c>
      <c r="I469" s="7" t="s">
        <v>747</v>
      </c>
      <c r="J469" s="7" t="s">
        <v>1192</v>
      </c>
      <c r="K469" s="7" t="s">
        <v>242</v>
      </c>
      <c r="L469" s="7" t="s">
        <v>11</v>
      </c>
      <c r="M469" s="10" t="s">
        <v>243</v>
      </c>
      <c r="N469" s="51">
        <f>7302000/1000</f>
        <v>7302</v>
      </c>
      <c r="O469" s="51">
        <f>7158783.73/1000</f>
        <v>7158.78373</v>
      </c>
      <c r="P469" s="51">
        <v>7031</v>
      </c>
      <c r="Q469" s="51">
        <v>7131</v>
      </c>
      <c r="R469" s="51">
        <v>0</v>
      </c>
      <c r="S469" s="51">
        <v>0</v>
      </c>
    </row>
    <row r="470" spans="1:19" s="3" customFormat="1" ht="98.25" customHeight="1">
      <c r="A470" s="39" t="s">
        <v>371</v>
      </c>
      <c r="B470" s="11" t="s">
        <v>337</v>
      </c>
      <c r="C470" s="12"/>
      <c r="D470" s="44" t="s">
        <v>16</v>
      </c>
      <c r="E470" s="7" t="s">
        <v>66</v>
      </c>
      <c r="F470" s="7" t="s">
        <v>68</v>
      </c>
      <c r="G470" s="7" t="s">
        <v>67</v>
      </c>
      <c r="H470" s="7" t="s">
        <v>489</v>
      </c>
      <c r="I470" s="7" t="s">
        <v>747</v>
      </c>
      <c r="J470" s="7" t="s">
        <v>1192</v>
      </c>
      <c r="K470" s="7" t="s">
        <v>242</v>
      </c>
      <c r="L470" s="7" t="s">
        <v>299</v>
      </c>
      <c r="M470" s="10" t="s">
        <v>243</v>
      </c>
      <c r="N470" s="51">
        <f>262000/1000</f>
        <v>262</v>
      </c>
      <c r="O470" s="51">
        <f>190029.16/1000</f>
        <v>190.02916</v>
      </c>
      <c r="P470" s="51">
        <v>178</v>
      </c>
      <c r="Q470" s="51">
        <v>171</v>
      </c>
      <c r="R470" s="52">
        <v>159</v>
      </c>
      <c r="S470" s="52">
        <v>159</v>
      </c>
    </row>
    <row r="471" spans="1:19" s="3" customFormat="1" ht="158.25" customHeight="1">
      <c r="A471" s="39" t="s">
        <v>372</v>
      </c>
      <c r="B471" s="11" t="s">
        <v>336</v>
      </c>
      <c r="C471" s="12"/>
      <c r="D471" s="44" t="s">
        <v>16</v>
      </c>
      <c r="E471" s="7" t="s">
        <v>267</v>
      </c>
      <c r="F471" s="7" t="s">
        <v>1193</v>
      </c>
      <c r="G471" s="7" t="s">
        <v>1172</v>
      </c>
      <c r="H471" s="7" t="s">
        <v>490</v>
      </c>
      <c r="I471" s="7" t="s">
        <v>140</v>
      </c>
      <c r="J471" s="7" t="s">
        <v>124</v>
      </c>
      <c r="K471" s="7" t="s">
        <v>1582</v>
      </c>
      <c r="L471" s="7" t="s">
        <v>86</v>
      </c>
      <c r="M471" s="10" t="s">
        <v>290</v>
      </c>
      <c r="N471" s="51">
        <f>217742300/1000</f>
        <v>217742.3</v>
      </c>
      <c r="O471" s="51">
        <f>(193888455.06+18165968.43)/1000</f>
        <v>212054.42349000002</v>
      </c>
      <c r="P471" s="51">
        <f>(239982200+26355800)/1000</f>
        <v>266338</v>
      </c>
      <c r="Q471" s="51">
        <v>278353</v>
      </c>
      <c r="R471" s="52">
        <v>279077</v>
      </c>
      <c r="S471" s="52">
        <v>279802</v>
      </c>
    </row>
    <row r="472" spans="1:19" s="3" customFormat="1" ht="134.25" customHeight="1">
      <c r="A472" s="40" t="s">
        <v>373</v>
      </c>
      <c r="B472" s="25" t="s">
        <v>323</v>
      </c>
      <c r="C472" s="15"/>
      <c r="D472" s="45" t="s">
        <v>199</v>
      </c>
      <c r="E472" s="21" t="s">
        <v>491</v>
      </c>
      <c r="F472" s="21" t="s">
        <v>747</v>
      </c>
      <c r="G472" s="83" t="s">
        <v>492</v>
      </c>
      <c r="H472" s="21" t="s">
        <v>493</v>
      </c>
      <c r="I472" s="21" t="s">
        <v>461</v>
      </c>
      <c r="J472" s="21" t="s">
        <v>32</v>
      </c>
      <c r="K472" s="21" t="s">
        <v>870</v>
      </c>
      <c r="L472" s="28" t="s">
        <v>94</v>
      </c>
      <c r="M472" s="28" t="s">
        <v>408</v>
      </c>
      <c r="N472" s="53">
        <f>44000/1000</f>
        <v>44</v>
      </c>
      <c r="O472" s="53">
        <f>44000/1000</f>
        <v>44</v>
      </c>
      <c r="P472" s="53">
        <v>46</v>
      </c>
      <c r="Q472" s="53">
        <v>49</v>
      </c>
      <c r="R472" s="56">
        <v>51</v>
      </c>
      <c r="S472" s="56">
        <v>51</v>
      </c>
    </row>
    <row r="473" spans="1:19" s="3" customFormat="1" ht="183" customHeight="1">
      <c r="A473" s="40" t="s">
        <v>374</v>
      </c>
      <c r="B473" s="134" t="s">
        <v>327</v>
      </c>
      <c r="C473" s="15"/>
      <c r="D473" s="45" t="s">
        <v>199</v>
      </c>
      <c r="E473" s="21" t="s">
        <v>77</v>
      </c>
      <c r="F473" s="21" t="s">
        <v>78</v>
      </c>
      <c r="G473" s="21" t="s">
        <v>79</v>
      </c>
      <c r="H473" s="21" t="s">
        <v>494</v>
      </c>
      <c r="I473" s="21" t="s">
        <v>75</v>
      </c>
      <c r="J473" s="83" t="s">
        <v>76</v>
      </c>
      <c r="K473" s="21" t="s">
        <v>872</v>
      </c>
      <c r="L473" s="83" t="s">
        <v>213</v>
      </c>
      <c r="M473" s="83" t="s">
        <v>873</v>
      </c>
      <c r="N473" s="53">
        <f>19000/1000</f>
        <v>19</v>
      </c>
      <c r="O473" s="53">
        <f>19000/1000</f>
        <v>19</v>
      </c>
      <c r="P473" s="53">
        <v>20</v>
      </c>
      <c r="Q473" s="53">
        <v>21</v>
      </c>
      <c r="R473" s="56">
        <v>22</v>
      </c>
      <c r="S473" s="56">
        <v>22</v>
      </c>
    </row>
    <row r="474" spans="1:19" s="3" customFormat="1" ht="23.25" customHeight="1" hidden="1">
      <c r="A474" s="39" t="s">
        <v>375</v>
      </c>
      <c r="B474" s="11" t="s">
        <v>376</v>
      </c>
      <c r="C474" s="12"/>
      <c r="D474" s="44"/>
      <c r="E474" s="7"/>
      <c r="F474" s="7"/>
      <c r="G474" s="7"/>
      <c r="H474" s="7"/>
      <c r="I474" s="7"/>
      <c r="J474" s="10"/>
      <c r="K474" s="7"/>
      <c r="L474" s="10"/>
      <c r="M474" s="10"/>
      <c r="N474" s="53"/>
      <c r="O474" s="53"/>
      <c r="P474" s="53"/>
      <c r="Q474" s="53"/>
      <c r="R474" s="56"/>
      <c r="S474" s="56"/>
    </row>
    <row r="475" spans="1:19" s="3" customFormat="1" ht="144" customHeight="1">
      <c r="A475" s="40" t="s">
        <v>377</v>
      </c>
      <c r="B475" s="25" t="s">
        <v>188</v>
      </c>
      <c r="C475" s="12"/>
      <c r="D475" s="45" t="s">
        <v>127</v>
      </c>
      <c r="E475" s="21" t="s">
        <v>495</v>
      </c>
      <c r="F475" s="21" t="s">
        <v>1194</v>
      </c>
      <c r="G475" s="83" t="s">
        <v>1195</v>
      </c>
      <c r="H475" s="21" t="s">
        <v>1196</v>
      </c>
      <c r="I475" s="21" t="s">
        <v>461</v>
      </c>
      <c r="J475" s="21" t="s">
        <v>124</v>
      </c>
      <c r="K475" s="21" t="s">
        <v>871</v>
      </c>
      <c r="L475" s="21" t="s">
        <v>245</v>
      </c>
      <c r="M475" s="21" t="s">
        <v>339</v>
      </c>
      <c r="N475" s="53">
        <f>9174/1000</f>
        <v>9.174</v>
      </c>
      <c r="O475" s="53">
        <f>1192/1000</f>
        <v>1.192</v>
      </c>
      <c r="P475" s="53">
        <v>42</v>
      </c>
      <c r="Q475" s="53">
        <v>0</v>
      </c>
      <c r="R475" s="53">
        <v>0</v>
      </c>
      <c r="S475" s="53">
        <v>0</v>
      </c>
    </row>
    <row r="476" spans="1:19" s="3" customFormat="1" ht="23.25" customHeight="1" hidden="1">
      <c r="A476" s="39" t="s">
        <v>378</v>
      </c>
      <c r="B476" s="11" t="s">
        <v>379</v>
      </c>
      <c r="C476" s="12"/>
      <c r="D476" s="44"/>
      <c r="E476" s="7"/>
      <c r="F476" s="7"/>
      <c r="G476" s="10"/>
      <c r="H476" s="7"/>
      <c r="I476" s="7"/>
      <c r="J476" s="7"/>
      <c r="K476" s="7"/>
      <c r="L476" s="7"/>
      <c r="M476" s="7"/>
      <c r="N476" s="53"/>
      <c r="O476" s="53"/>
      <c r="P476" s="53"/>
      <c r="Q476" s="53"/>
      <c r="R476" s="53"/>
      <c r="S476" s="53"/>
    </row>
    <row r="477" spans="1:19" s="3" customFormat="1" ht="23.25" customHeight="1" hidden="1">
      <c r="A477" s="39" t="s">
        <v>380</v>
      </c>
      <c r="B477" s="11" t="s">
        <v>381</v>
      </c>
      <c r="C477" s="12"/>
      <c r="D477" s="44"/>
      <c r="E477" s="7"/>
      <c r="F477" s="7"/>
      <c r="G477" s="10"/>
      <c r="H477" s="7"/>
      <c r="I477" s="7"/>
      <c r="J477" s="7"/>
      <c r="K477" s="7"/>
      <c r="L477" s="7"/>
      <c r="M477" s="7"/>
      <c r="N477" s="53"/>
      <c r="O477" s="53"/>
      <c r="P477" s="53"/>
      <c r="Q477" s="53"/>
      <c r="R477" s="53"/>
      <c r="S477" s="53"/>
    </row>
    <row r="478" spans="1:19" s="3" customFormat="1" ht="23.25" customHeight="1" hidden="1">
      <c r="A478" s="39" t="s">
        <v>382</v>
      </c>
      <c r="B478" s="11" t="s">
        <v>383</v>
      </c>
      <c r="C478" s="12"/>
      <c r="D478" s="44"/>
      <c r="E478" s="7"/>
      <c r="F478" s="7"/>
      <c r="G478" s="10"/>
      <c r="H478" s="7"/>
      <c r="I478" s="7"/>
      <c r="J478" s="7"/>
      <c r="K478" s="7"/>
      <c r="L478" s="7"/>
      <c r="M478" s="7"/>
      <c r="N478" s="53"/>
      <c r="O478" s="53"/>
      <c r="P478" s="53"/>
      <c r="Q478" s="53"/>
      <c r="R478" s="53"/>
      <c r="S478" s="53"/>
    </row>
    <row r="479" spans="1:19" s="3" customFormat="1" ht="23.25" customHeight="1" hidden="1">
      <c r="A479" s="39" t="s">
        <v>384</v>
      </c>
      <c r="B479" s="11" t="s">
        <v>385</v>
      </c>
      <c r="C479" s="12"/>
      <c r="D479" s="44"/>
      <c r="E479" s="7"/>
      <c r="F479" s="7"/>
      <c r="G479" s="10"/>
      <c r="H479" s="7"/>
      <c r="I479" s="7"/>
      <c r="J479" s="7"/>
      <c r="K479" s="7"/>
      <c r="L479" s="7"/>
      <c r="M479" s="7"/>
      <c r="N479" s="53"/>
      <c r="O479" s="53"/>
      <c r="P479" s="53"/>
      <c r="Q479" s="53"/>
      <c r="R479" s="53"/>
      <c r="S479" s="53"/>
    </row>
    <row r="480" spans="1:19" s="3" customFormat="1" ht="23.25" customHeight="1" hidden="1">
      <c r="A480" s="39" t="s">
        <v>386</v>
      </c>
      <c r="B480" s="11" t="s">
        <v>387</v>
      </c>
      <c r="C480" s="12"/>
      <c r="D480" s="44"/>
      <c r="E480" s="7"/>
      <c r="F480" s="7"/>
      <c r="G480" s="10"/>
      <c r="H480" s="7"/>
      <c r="I480" s="7"/>
      <c r="J480" s="7"/>
      <c r="K480" s="7"/>
      <c r="L480" s="7"/>
      <c r="M480" s="7"/>
      <c r="N480" s="53"/>
      <c r="O480" s="53"/>
      <c r="P480" s="53"/>
      <c r="Q480" s="53"/>
      <c r="R480" s="53"/>
      <c r="S480" s="53"/>
    </row>
    <row r="481" spans="1:19" s="3" customFormat="1" ht="96.75" customHeight="1">
      <c r="A481" s="40" t="s">
        <v>388</v>
      </c>
      <c r="B481" s="25" t="s">
        <v>331</v>
      </c>
      <c r="C481" s="15"/>
      <c r="D481" s="45" t="s">
        <v>199</v>
      </c>
      <c r="E481" s="21" t="s">
        <v>203</v>
      </c>
      <c r="F481" s="21" t="s">
        <v>204</v>
      </c>
      <c r="G481" s="21" t="s">
        <v>205</v>
      </c>
      <c r="H481" s="21" t="s">
        <v>167</v>
      </c>
      <c r="I481" s="21" t="s">
        <v>461</v>
      </c>
      <c r="J481" s="21" t="s">
        <v>168</v>
      </c>
      <c r="K481" s="21" t="s">
        <v>963</v>
      </c>
      <c r="L481" s="21" t="s">
        <v>245</v>
      </c>
      <c r="M481" s="21" t="s">
        <v>196</v>
      </c>
      <c r="N481" s="53">
        <f>3313000/1000</f>
        <v>3313</v>
      </c>
      <c r="O481" s="53">
        <f>3203833.63/1000</f>
        <v>3203.83363</v>
      </c>
      <c r="P481" s="53">
        <f>3547.4</f>
        <v>3547.4</v>
      </c>
      <c r="Q481" s="53">
        <v>6375</v>
      </c>
      <c r="R481" s="56">
        <v>6636.4</v>
      </c>
      <c r="S481" s="56">
        <v>6636.4</v>
      </c>
    </row>
    <row r="482" spans="1:19" s="3" customFormat="1" ht="106.5" customHeight="1">
      <c r="A482" s="165" t="s">
        <v>389</v>
      </c>
      <c r="B482" s="166" t="s">
        <v>257</v>
      </c>
      <c r="C482" s="15"/>
      <c r="D482" s="44" t="s">
        <v>199</v>
      </c>
      <c r="E482" s="7" t="s">
        <v>203</v>
      </c>
      <c r="F482" s="7" t="s">
        <v>204</v>
      </c>
      <c r="G482" s="7" t="s">
        <v>1197</v>
      </c>
      <c r="H482" s="7" t="s">
        <v>496</v>
      </c>
      <c r="I482" s="7" t="s">
        <v>202</v>
      </c>
      <c r="J482" s="7" t="s">
        <v>201</v>
      </c>
      <c r="K482" s="7" t="s">
        <v>874</v>
      </c>
      <c r="L482" s="7" t="s">
        <v>245</v>
      </c>
      <c r="M482" s="7" t="s">
        <v>219</v>
      </c>
      <c r="N482" s="167">
        <f>19900/1000</f>
        <v>19.9</v>
      </c>
      <c r="O482" s="167">
        <f>19900/1000</f>
        <v>19.9</v>
      </c>
      <c r="P482" s="167">
        <v>20</v>
      </c>
      <c r="Q482" s="167">
        <v>21.3</v>
      </c>
      <c r="R482" s="168">
        <v>21.3</v>
      </c>
      <c r="S482" s="168">
        <v>21.3</v>
      </c>
    </row>
    <row r="483" spans="1:19" s="3" customFormat="1" ht="75" customHeight="1">
      <c r="A483" s="97" t="s">
        <v>1553</v>
      </c>
      <c r="B483" s="163" t="s">
        <v>1554</v>
      </c>
      <c r="C483" s="164"/>
      <c r="D483" s="48" t="s">
        <v>206</v>
      </c>
      <c r="E483" s="22" t="s">
        <v>203</v>
      </c>
      <c r="F483" s="22" t="s">
        <v>204</v>
      </c>
      <c r="G483" s="22" t="s">
        <v>1197</v>
      </c>
      <c r="H483" s="22" t="s">
        <v>496</v>
      </c>
      <c r="I483" s="22" t="s">
        <v>202</v>
      </c>
      <c r="J483" s="22" t="s">
        <v>201</v>
      </c>
      <c r="K483" s="22" t="s">
        <v>874</v>
      </c>
      <c r="L483" s="22" t="s">
        <v>245</v>
      </c>
      <c r="M483" s="22" t="s">
        <v>219</v>
      </c>
      <c r="N483" s="111"/>
      <c r="O483" s="111"/>
      <c r="P483" s="111">
        <v>180.43731</v>
      </c>
      <c r="Q483" s="111">
        <v>425.5</v>
      </c>
      <c r="R483" s="158">
        <v>425.5</v>
      </c>
      <c r="S483" s="158">
        <v>425.5</v>
      </c>
    </row>
    <row r="484" spans="1:19" s="3" customFormat="1" ht="42.75" customHeight="1">
      <c r="A484" s="255" t="s">
        <v>1555</v>
      </c>
      <c r="B484" s="195" t="s">
        <v>1557</v>
      </c>
      <c r="C484" s="12"/>
      <c r="D484" s="45" t="s">
        <v>110</v>
      </c>
      <c r="E484" s="215" t="s">
        <v>875</v>
      </c>
      <c r="F484" s="215" t="s">
        <v>876</v>
      </c>
      <c r="G484" s="215" t="s">
        <v>877</v>
      </c>
      <c r="H484" s="215" t="s">
        <v>878</v>
      </c>
      <c r="I484" s="215" t="s">
        <v>497</v>
      </c>
      <c r="J484" s="228" t="s">
        <v>879</v>
      </c>
      <c r="K484" s="215" t="s">
        <v>844</v>
      </c>
      <c r="L484" s="215" t="s">
        <v>86</v>
      </c>
      <c r="M484" s="228" t="s">
        <v>845</v>
      </c>
      <c r="N484" s="53">
        <v>0</v>
      </c>
      <c r="O484" s="53">
        <v>0</v>
      </c>
      <c r="P484" s="53">
        <f>4841.6+9347.2</f>
        <v>14188.800000000001</v>
      </c>
      <c r="Q484" s="53">
        <v>15651.1</v>
      </c>
      <c r="R484" s="56">
        <v>15932.5</v>
      </c>
      <c r="S484" s="56">
        <v>16210.9</v>
      </c>
    </row>
    <row r="485" spans="1:19" s="3" customFormat="1" ht="42.75" customHeight="1">
      <c r="A485" s="256"/>
      <c r="B485" s="196"/>
      <c r="C485" s="12"/>
      <c r="D485" s="46" t="s">
        <v>145</v>
      </c>
      <c r="E485" s="216"/>
      <c r="F485" s="216"/>
      <c r="G485" s="216"/>
      <c r="H485" s="216"/>
      <c r="I485" s="216"/>
      <c r="J485" s="216"/>
      <c r="K485" s="216"/>
      <c r="L485" s="216"/>
      <c r="M485" s="229"/>
      <c r="N485" s="54">
        <v>0</v>
      </c>
      <c r="O485" s="54">
        <v>0</v>
      </c>
      <c r="P485" s="54">
        <v>16986.1</v>
      </c>
      <c r="Q485" s="54">
        <v>32474.9</v>
      </c>
      <c r="R485" s="67">
        <v>33058.7</v>
      </c>
      <c r="S485" s="67">
        <v>33636.3</v>
      </c>
    </row>
    <row r="486" spans="1:19" s="3" customFormat="1" ht="42.75" customHeight="1">
      <c r="A486" s="255" t="s">
        <v>374</v>
      </c>
      <c r="B486" s="195" t="s">
        <v>327</v>
      </c>
      <c r="C486" s="12"/>
      <c r="D486" s="45" t="s">
        <v>254</v>
      </c>
      <c r="E486" s="215" t="s">
        <v>77</v>
      </c>
      <c r="F486" s="215" t="s">
        <v>78</v>
      </c>
      <c r="G486" s="216"/>
      <c r="H486" s="216"/>
      <c r="I486" s="216"/>
      <c r="J486" s="216"/>
      <c r="K486" s="216"/>
      <c r="L486" s="216"/>
      <c r="M486" s="229"/>
      <c r="N486" s="54">
        <v>0</v>
      </c>
      <c r="O486" s="54">
        <v>0</v>
      </c>
      <c r="P486" s="54">
        <v>1546.9</v>
      </c>
      <c r="Q486" s="54">
        <v>1895.2</v>
      </c>
      <c r="R486" s="67">
        <v>1929.3</v>
      </c>
      <c r="S486" s="67">
        <v>1963</v>
      </c>
    </row>
    <row r="487" spans="1:19" s="3" customFormat="1" ht="42.75" customHeight="1">
      <c r="A487" s="257"/>
      <c r="B487" s="198"/>
      <c r="C487" s="12"/>
      <c r="D487" s="48" t="s">
        <v>255</v>
      </c>
      <c r="E487" s="217"/>
      <c r="F487" s="217"/>
      <c r="G487" s="217"/>
      <c r="H487" s="217"/>
      <c r="I487" s="217"/>
      <c r="J487" s="217"/>
      <c r="K487" s="217"/>
      <c r="L487" s="217"/>
      <c r="M487" s="230"/>
      <c r="N487" s="59">
        <v>0</v>
      </c>
      <c r="O487" s="59">
        <v>0</v>
      </c>
      <c r="P487" s="59">
        <v>40750.3</v>
      </c>
      <c r="Q487" s="59">
        <v>0</v>
      </c>
      <c r="R487" s="61">
        <v>0</v>
      </c>
      <c r="S487" s="61">
        <v>0</v>
      </c>
    </row>
    <row r="488" spans="1:19" s="3" customFormat="1" ht="54" customHeight="1">
      <c r="A488" s="248" t="s">
        <v>1556</v>
      </c>
      <c r="B488" s="254" t="s">
        <v>333</v>
      </c>
      <c r="C488" s="12"/>
      <c r="D488" s="45" t="s">
        <v>255</v>
      </c>
      <c r="E488" s="215" t="s">
        <v>34</v>
      </c>
      <c r="F488" s="215" t="s">
        <v>49</v>
      </c>
      <c r="G488" s="215" t="s">
        <v>1116</v>
      </c>
      <c r="H488" s="215" t="s">
        <v>1198</v>
      </c>
      <c r="I488" s="215" t="s">
        <v>115</v>
      </c>
      <c r="J488" s="215" t="s">
        <v>1199</v>
      </c>
      <c r="K488" s="326" t="s">
        <v>880</v>
      </c>
      <c r="L488" s="215" t="s">
        <v>71</v>
      </c>
      <c r="M488" s="228" t="s">
        <v>881</v>
      </c>
      <c r="N488" s="53">
        <f>5775500/1000</f>
        <v>5775.5</v>
      </c>
      <c r="O488" s="53">
        <f>5267992.45/1000</f>
        <v>5267.99245</v>
      </c>
      <c r="P488" s="53">
        <v>4568.5</v>
      </c>
      <c r="Q488" s="185">
        <v>0</v>
      </c>
      <c r="R488" s="185">
        <v>0</v>
      </c>
      <c r="S488" s="185">
        <v>0</v>
      </c>
    </row>
    <row r="489" spans="1:19" s="3" customFormat="1" ht="54" customHeight="1">
      <c r="A489" s="248"/>
      <c r="B489" s="254"/>
      <c r="C489" s="12"/>
      <c r="D489" s="48" t="s">
        <v>145</v>
      </c>
      <c r="E489" s="217"/>
      <c r="F489" s="217"/>
      <c r="G489" s="217"/>
      <c r="H489" s="217"/>
      <c r="I489" s="217"/>
      <c r="J489" s="217"/>
      <c r="K489" s="327"/>
      <c r="L489" s="217"/>
      <c r="M489" s="230"/>
      <c r="N489" s="59">
        <f>2724500/1000</f>
        <v>2724.5</v>
      </c>
      <c r="O489" s="59">
        <f>2495595.48/1000</f>
        <v>2495.59548</v>
      </c>
      <c r="P489" s="59">
        <v>2494.3</v>
      </c>
      <c r="Q489" s="187"/>
      <c r="R489" s="187"/>
      <c r="S489" s="187"/>
    </row>
    <row r="490" spans="1:19" s="3" customFormat="1" ht="181.5" customHeight="1">
      <c r="A490" s="40" t="s">
        <v>390</v>
      </c>
      <c r="B490" s="25" t="s">
        <v>328</v>
      </c>
      <c r="C490" s="12"/>
      <c r="D490" s="45" t="s">
        <v>16</v>
      </c>
      <c r="E490" s="21" t="s">
        <v>499</v>
      </c>
      <c r="F490" s="21" t="s">
        <v>497</v>
      </c>
      <c r="G490" s="21" t="s">
        <v>500</v>
      </c>
      <c r="H490" s="21" t="s">
        <v>482</v>
      </c>
      <c r="I490" s="21" t="s">
        <v>502</v>
      </c>
      <c r="J490" s="83" t="s">
        <v>498</v>
      </c>
      <c r="K490" s="21" t="s">
        <v>866</v>
      </c>
      <c r="L490" s="21" t="s">
        <v>434</v>
      </c>
      <c r="M490" s="83" t="s">
        <v>882</v>
      </c>
      <c r="N490" s="53">
        <f>1493477/1000</f>
        <v>1493.477</v>
      </c>
      <c r="O490" s="53">
        <f>1493477/1000</f>
        <v>1493.477</v>
      </c>
      <c r="P490" s="53">
        <f>(216230.08+1168769.92)/1000</f>
        <v>1385</v>
      </c>
      <c r="Q490" s="53">
        <v>891.2</v>
      </c>
      <c r="R490" s="56">
        <v>1035.4</v>
      </c>
      <c r="S490" s="56">
        <v>842.2</v>
      </c>
    </row>
    <row r="491" spans="1:19" s="3" customFormat="1" ht="99.75" customHeight="1">
      <c r="A491" s="40" t="s">
        <v>391</v>
      </c>
      <c r="B491" s="25" t="s">
        <v>335</v>
      </c>
      <c r="C491" s="12"/>
      <c r="D491" s="45" t="s">
        <v>199</v>
      </c>
      <c r="E491" s="21"/>
      <c r="F491" s="21"/>
      <c r="G491" s="21"/>
      <c r="H491" s="21" t="s">
        <v>501</v>
      </c>
      <c r="I491" s="21" t="s">
        <v>1200</v>
      </c>
      <c r="J491" s="83" t="s">
        <v>498</v>
      </c>
      <c r="K491" s="21" t="s">
        <v>883</v>
      </c>
      <c r="L491" s="83" t="s">
        <v>245</v>
      </c>
      <c r="M491" s="83" t="s">
        <v>218</v>
      </c>
      <c r="N491" s="53">
        <f>1000/1000</f>
        <v>1</v>
      </c>
      <c r="O491" s="53">
        <v>0</v>
      </c>
      <c r="P491" s="53">
        <v>1</v>
      </c>
      <c r="Q491" s="53">
        <v>1.1</v>
      </c>
      <c r="R491" s="53">
        <v>1.1</v>
      </c>
      <c r="S491" s="53">
        <v>1.1</v>
      </c>
    </row>
    <row r="492" spans="1:19" s="3" customFormat="1" ht="73.5" customHeight="1">
      <c r="A492" s="40" t="s">
        <v>392</v>
      </c>
      <c r="B492" s="25" t="s">
        <v>334</v>
      </c>
      <c r="C492" s="15"/>
      <c r="D492" s="45" t="s">
        <v>199</v>
      </c>
      <c r="E492" s="21" t="s">
        <v>516</v>
      </c>
      <c r="F492" s="21" t="s">
        <v>517</v>
      </c>
      <c r="G492" s="21" t="s">
        <v>518</v>
      </c>
      <c r="H492" s="21" t="s">
        <v>503</v>
      </c>
      <c r="I492" s="21" t="s">
        <v>442</v>
      </c>
      <c r="J492" s="83" t="s">
        <v>498</v>
      </c>
      <c r="K492" s="21" t="s">
        <v>884</v>
      </c>
      <c r="L492" s="21" t="s">
        <v>245</v>
      </c>
      <c r="M492" s="21" t="s">
        <v>273</v>
      </c>
      <c r="N492" s="53">
        <f>510000/1000</f>
        <v>510</v>
      </c>
      <c r="O492" s="53">
        <f>510000/1000</f>
        <v>510</v>
      </c>
      <c r="P492" s="53">
        <v>529</v>
      </c>
      <c r="Q492" s="53">
        <v>560</v>
      </c>
      <c r="R492" s="56">
        <v>583</v>
      </c>
      <c r="S492" s="56">
        <v>583</v>
      </c>
    </row>
    <row r="493" spans="1:19" s="3" customFormat="1" ht="84.75" customHeight="1">
      <c r="A493" s="40" t="s">
        <v>393</v>
      </c>
      <c r="B493" s="25" t="s">
        <v>319</v>
      </c>
      <c r="C493" s="12"/>
      <c r="D493" s="45" t="s">
        <v>222</v>
      </c>
      <c r="E493" s="21" t="s">
        <v>519</v>
      </c>
      <c r="F493" s="21" t="s">
        <v>475</v>
      </c>
      <c r="G493" s="21" t="s">
        <v>520</v>
      </c>
      <c r="H493" s="21" t="s">
        <v>504</v>
      </c>
      <c r="I493" s="21" t="s">
        <v>505</v>
      </c>
      <c r="J493" s="83" t="s">
        <v>4</v>
      </c>
      <c r="K493" s="21" t="s">
        <v>885</v>
      </c>
      <c r="L493" s="21" t="s">
        <v>71</v>
      </c>
      <c r="M493" s="21" t="s">
        <v>324</v>
      </c>
      <c r="N493" s="53">
        <f>419980/1000</f>
        <v>419.98</v>
      </c>
      <c r="O493" s="53">
        <f>419980/1000</f>
        <v>419.98</v>
      </c>
      <c r="P493" s="53">
        <f>595300/1000</f>
        <v>595.3</v>
      </c>
      <c r="Q493" s="53">
        <v>538</v>
      </c>
      <c r="R493" s="53">
        <v>539</v>
      </c>
      <c r="S493" s="53">
        <v>541</v>
      </c>
    </row>
    <row r="494" spans="1:19" s="2" customFormat="1" ht="96" customHeight="1">
      <c r="A494" s="40" t="s">
        <v>394</v>
      </c>
      <c r="B494" s="25" t="s">
        <v>274</v>
      </c>
      <c r="C494" s="12"/>
      <c r="D494" s="45" t="s">
        <v>193</v>
      </c>
      <c r="E494" s="21"/>
      <c r="F494" s="21"/>
      <c r="G494" s="21"/>
      <c r="H494" s="21" t="s">
        <v>506</v>
      </c>
      <c r="I494" s="21" t="s">
        <v>557</v>
      </c>
      <c r="J494" s="21" t="s">
        <v>1201</v>
      </c>
      <c r="K494" s="21" t="s">
        <v>886</v>
      </c>
      <c r="L494" s="21" t="s">
        <v>245</v>
      </c>
      <c r="M494" s="21" t="s">
        <v>189</v>
      </c>
      <c r="N494" s="53">
        <f>199430/1000</f>
        <v>199.43</v>
      </c>
      <c r="O494" s="53">
        <f>199430/1000</f>
        <v>199.43</v>
      </c>
      <c r="P494" s="53">
        <v>0</v>
      </c>
      <c r="Q494" s="53">
        <v>0</v>
      </c>
      <c r="R494" s="56">
        <v>0</v>
      </c>
      <c r="S494" s="56">
        <v>0</v>
      </c>
    </row>
    <row r="495" spans="1:19" s="2" customFormat="1" ht="3.75" customHeight="1">
      <c r="A495" s="227" t="s">
        <v>749</v>
      </c>
      <c r="B495" s="195" t="s">
        <v>1558</v>
      </c>
      <c r="C495" s="12"/>
      <c r="D495" s="212" t="s">
        <v>296</v>
      </c>
      <c r="E495" s="215" t="s">
        <v>743</v>
      </c>
      <c r="F495" s="215" t="s">
        <v>744</v>
      </c>
      <c r="G495" s="215" t="s">
        <v>745</v>
      </c>
      <c r="H495" s="215" t="s">
        <v>746</v>
      </c>
      <c r="I495" s="215" t="s">
        <v>747</v>
      </c>
      <c r="J495" s="215" t="s">
        <v>748</v>
      </c>
      <c r="K495" s="21"/>
      <c r="L495" s="21"/>
      <c r="M495" s="21"/>
      <c r="N495" s="185">
        <f>4318293/1000</f>
        <v>4318.293</v>
      </c>
      <c r="O495" s="185">
        <f>1719900/1000</f>
        <v>1719.9</v>
      </c>
      <c r="P495" s="185">
        <v>2598.393</v>
      </c>
      <c r="Q495" s="185">
        <v>0</v>
      </c>
      <c r="R495" s="188">
        <v>0</v>
      </c>
      <c r="S495" s="188">
        <v>0</v>
      </c>
    </row>
    <row r="496" spans="1:19" s="2" customFormat="1" ht="71.25" customHeight="1">
      <c r="A496" s="183"/>
      <c r="B496" s="196"/>
      <c r="C496" s="12"/>
      <c r="D496" s="213"/>
      <c r="E496" s="216"/>
      <c r="F496" s="216"/>
      <c r="G496" s="216"/>
      <c r="H496" s="216"/>
      <c r="I496" s="216"/>
      <c r="J496" s="216"/>
      <c r="K496" s="22" t="s">
        <v>894</v>
      </c>
      <c r="L496" s="22" t="s">
        <v>245</v>
      </c>
      <c r="M496" s="22" t="s">
        <v>895</v>
      </c>
      <c r="N496" s="186"/>
      <c r="O496" s="186"/>
      <c r="P496" s="186"/>
      <c r="Q496" s="186"/>
      <c r="R496" s="190"/>
      <c r="S496" s="190"/>
    </row>
    <row r="497" spans="1:19" s="2" customFormat="1" ht="168.75" customHeight="1">
      <c r="A497" s="183"/>
      <c r="B497" s="196"/>
      <c r="C497" s="12"/>
      <c r="D497" s="213" t="s">
        <v>254</v>
      </c>
      <c r="E497" s="216"/>
      <c r="F497" s="216"/>
      <c r="G497" s="217"/>
      <c r="H497" s="217"/>
      <c r="I497" s="217"/>
      <c r="J497" s="217"/>
      <c r="K497" s="29" t="s">
        <v>742</v>
      </c>
      <c r="L497" s="29" t="s">
        <v>194</v>
      </c>
      <c r="M497" s="71" t="s">
        <v>846</v>
      </c>
      <c r="N497" s="187"/>
      <c r="O497" s="187"/>
      <c r="P497" s="187"/>
      <c r="Q497" s="187"/>
      <c r="R497" s="189"/>
      <c r="S497" s="189"/>
    </row>
    <row r="498" spans="1:19" s="4" customFormat="1" ht="25.5" customHeight="1">
      <c r="A498" s="38" t="s">
        <v>46</v>
      </c>
      <c r="B498" s="174" t="s">
        <v>1614</v>
      </c>
      <c r="C498" s="175"/>
      <c r="D498" s="175"/>
      <c r="E498" s="175"/>
      <c r="F498" s="175"/>
      <c r="G498" s="175"/>
      <c r="H498" s="175"/>
      <c r="I498" s="175"/>
      <c r="J498" s="175"/>
      <c r="K498" s="175"/>
      <c r="L498" s="175"/>
      <c r="M498" s="176"/>
      <c r="N498" s="50">
        <f aca="true" t="shared" si="24" ref="N498:S498">SUM(N499:N528)</f>
        <v>10130.09992</v>
      </c>
      <c r="O498" s="50">
        <f t="shared" si="24"/>
        <v>9613.88592</v>
      </c>
      <c r="P498" s="50">
        <f>SUM(P499:P529)</f>
        <v>6359.09025</v>
      </c>
      <c r="Q498" s="50">
        <f t="shared" si="24"/>
        <v>1589.4</v>
      </c>
      <c r="R498" s="50">
        <f t="shared" si="24"/>
        <v>1661.1999999999998</v>
      </c>
      <c r="S498" s="50">
        <f t="shared" si="24"/>
        <v>1732.6</v>
      </c>
    </row>
    <row r="499" spans="1:19" s="5" customFormat="1" ht="63" customHeight="1">
      <c r="A499" s="43"/>
      <c r="B499" s="11" t="s">
        <v>262</v>
      </c>
      <c r="C499" s="13"/>
      <c r="D499" s="44" t="s">
        <v>296</v>
      </c>
      <c r="E499" s="7" t="s">
        <v>34</v>
      </c>
      <c r="F499" s="7" t="s">
        <v>151</v>
      </c>
      <c r="G499" s="7" t="s">
        <v>1116</v>
      </c>
      <c r="H499" s="7"/>
      <c r="I499" s="7"/>
      <c r="J499" s="7"/>
      <c r="K499" s="7" t="s">
        <v>1527</v>
      </c>
      <c r="L499" s="7" t="s">
        <v>301</v>
      </c>
      <c r="M499" s="7" t="s">
        <v>297</v>
      </c>
      <c r="N499" s="51">
        <f>74000/1000</f>
        <v>74</v>
      </c>
      <c r="O499" s="51">
        <f>68994/1000</f>
        <v>68.994</v>
      </c>
      <c r="P499" s="51">
        <v>191.494</v>
      </c>
      <c r="Q499" s="51">
        <v>189.7</v>
      </c>
      <c r="R499" s="52">
        <v>189.7</v>
      </c>
      <c r="S499" s="52">
        <v>189.7</v>
      </c>
    </row>
    <row r="500" spans="1:19" s="5" customFormat="1" ht="58.5" customHeight="1">
      <c r="A500" s="43"/>
      <c r="B500" s="123" t="s">
        <v>1063</v>
      </c>
      <c r="C500" s="13"/>
      <c r="D500" s="44" t="s">
        <v>305</v>
      </c>
      <c r="E500" s="7" t="s">
        <v>34</v>
      </c>
      <c r="F500" s="7" t="s">
        <v>151</v>
      </c>
      <c r="G500" s="7" t="s">
        <v>1116</v>
      </c>
      <c r="H500" s="7"/>
      <c r="I500" s="7"/>
      <c r="J500" s="7"/>
      <c r="K500" s="33" t="s">
        <v>1064</v>
      </c>
      <c r="L500" s="33" t="s">
        <v>71</v>
      </c>
      <c r="M500" s="33" t="s">
        <v>1065</v>
      </c>
      <c r="N500" s="51">
        <v>0</v>
      </c>
      <c r="O500" s="51">
        <v>0</v>
      </c>
      <c r="P500" s="51">
        <v>0</v>
      </c>
      <c r="Q500" s="51">
        <v>0</v>
      </c>
      <c r="R500" s="52">
        <v>0</v>
      </c>
      <c r="S500" s="52">
        <v>0</v>
      </c>
    </row>
    <row r="501" spans="1:19" s="5" customFormat="1" ht="48.75" customHeight="1">
      <c r="A501" s="43"/>
      <c r="B501" s="11" t="s">
        <v>261</v>
      </c>
      <c r="C501" s="13"/>
      <c r="D501" s="44" t="s">
        <v>296</v>
      </c>
      <c r="E501" s="7" t="s">
        <v>34</v>
      </c>
      <c r="F501" s="7" t="s">
        <v>151</v>
      </c>
      <c r="G501" s="7" t="s">
        <v>1116</v>
      </c>
      <c r="H501" s="7"/>
      <c r="I501" s="7"/>
      <c r="J501" s="7"/>
      <c r="K501" s="7" t="s">
        <v>170</v>
      </c>
      <c r="L501" s="7" t="s">
        <v>74</v>
      </c>
      <c r="M501" s="7" t="s">
        <v>30</v>
      </c>
      <c r="N501" s="51">
        <f>24000/1000</f>
        <v>24</v>
      </c>
      <c r="O501" s="51">
        <v>0</v>
      </c>
      <c r="P501" s="51">
        <v>24</v>
      </c>
      <c r="Q501" s="51">
        <v>23.2</v>
      </c>
      <c r="R501" s="52">
        <v>23.2</v>
      </c>
      <c r="S501" s="52">
        <v>23.2</v>
      </c>
    </row>
    <row r="502" spans="1:19" s="3" customFormat="1" ht="23.25" customHeight="1" hidden="1" outlineLevel="1">
      <c r="A502" s="39"/>
      <c r="B502" s="11" t="s">
        <v>120</v>
      </c>
      <c r="C502" s="12"/>
      <c r="D502" s="44" t="s">
        <v>193</v>
      </c>
      <c r="E502" s="7" t="s">
        <v>34</v>
      </c>
      <c r="F502" s="7" t="s">
        <v>9</v>
      </c>
      <c r="G502" s="10" t="s">
        <v>197</v>
      </c>
      <c r="H502" s="7" t="s">
        <v>6</v>
      </c>
      <c r="I502" s="7" t="s">
        <v>7</v>
      </c>
      <c r="J502" s="7" t="s">
        <v>8</v>
      </c>
      <c r="K502" s="7" t="s">
        <v>70</v>
      </c>
      <c r="L502" s="7" t="s">
        <v>111</v>
      </c>
      <c r="M502" s="7" t="s">
        <v>157</v>
      </c>
      <c r="N502" s="51">
        <v>0</v>
      </c>
      <c r="O502" s="51"/>
      <c r="P502" s="51"/>
      <c r="Q502" s="51"/>
      <c r="R502" s="51"/>
      <c r="S502" s="51"/>
    </row>
    <row r="503" spans="1:19" s="3" customFormat="1" ht="23.25" customHeight="1" hidden="1" outlineLevel="1">
      <c r="A503" s="39"/>
      <c r="B503" s="11" t="s">
        <v>172</v>
      </c>
      <c r="C503" s="12"/>
      <c r="D503" s="44" t="s">
        <v>193</v>
      </c>
      <c r="E503" s="7" t="s">
        <v>34</v>
      </c>
      <c r="F503" s="7" t="s">
        <v>9</v>
      </c>
      <c r="G503" s="10" t="s">
        <v>197</v>
      </c>
      <c r="H503" s="7"/>
      <c r="I503" s="7"/>
      <c r="J503" s="7"/>
      <c r="K503" s="7" t="s">
        <v>298</v>
      </c>
      <c r="L503" s="7" t="s">
        <v>299</v>
      </c>
      <c r="M503" s="7" t="s">
        <v>223</v>
      </c>
      <c r="N503" s="51">
        <v>0</v>
      </c>
      <c r="O503" s="51"/>
      <c r="P503" s="51"/>
      <c r="Q503" s="51"/>
      <c r="R503" s="51"/>
      <c r="S503" s="51"/>
    </row>
    <row r="504" spans="1:19" s="5" customFormat="1" ht="21" customHeight="1" outlineLevel="1">
      <c r="A504" s="248"/>
      <c r="B504" s="195" t="s">
        <v>2</v>
      </c>
      <c r="C504" s="13"/>
      <c r="D504" s="212" t="s">
        <v>296</v>
      </c>
      <c r="E504" s="215" t="s">
        <v>554</v>
      </c>
      <c r="F504" s="215" t="s">
        <v>345</v>
      </c>
      <c r="G504" s="215" t="s">
        <v>555</v>
      </c>
      <c r="H504" s="215" t="s">
        <v>556</v>
      </c>
      <c r="I504" s="215" t="s">
        <v>557</v>
      </c>
      <c r="J504" s="228" t="s">
        <v>558</v>
      </c>
      <c r="K504" s="215" t="s">
        <v>559</v>
      </c>
      <c r="L504" s="215" t="s">
        <v>11</v>
      </c>
      <c r="M504" s="215" t="s">
        <v>560</v>
      </c>
      <c r="N504" s="53">
        <f>86428/1000</f>
        <v>86.428</v>
      </c>
      <c r="O504" s="53">
        <f>86428/1000</f>
        <v>86.428</v>
      </c>
      <c r="P504" s="53">
        <v>0</v>
      </c>
      <c r="Q504" s="53">
        <v>0</v>
      </c>
      <c r="R504" s="56">
        <v>0</v>
      </c>
      <c r="S504" s="56">
        <v>0</v>
      </c>
    </row>
    <row r="505" spans="1:19" s="5" customFormat="1" ht="21" customHeight="1" outlineLevel="1">
      <c r="A505" s="250"/>
      <c r="B505" s="196"/>
      <c r="C505" s="13"/>
      <c r="D505" s="213"/>
      <c r="E505" s="216"/>
      <c r="F505" s="216"/>
      <c r="G505" s="216"/>
      <c r="H505" s="216"/>
      <c r="I505" s="216"/>
      <c r="J505" s="229"/>
      <c r="K505" s="216"/>
      <c r="L505" s="216"/>
      <c r="M505" s="216"/>
      <c r="N505" s="54">
        <f>213190/1000</f>
        <v>213.19</v>
      </c>
      <c r="O505" s="54">
        <f>213190/1000</f>
        <v>213.19</v>
      </c>
      <c r="P505" s="54">
        <v>0</v>
      </c>
      <c r="Q505" s="54">
        <v>0</v>
      </c>
      <c r="R505" s="67">
        <v>0</v>
      </c>
      <c r="S505" s="67">
        <v>0</v>
      </c>
    </row>
    <row r="506" spans="1:19" s="5" customFormat="1" ht="21" customHeight="1" outlineLevel="1">
      <c r="A506" s="251"/>
      <c r="B506" s="198"/>
      <c r="C506" s="13"/>
      <c r="D506" s="214"/>
      <c r="E506" s="217"/>
      <c r="F506" s="217"/>
      <c r="G506" s="217"/>
      <c r="H506" s="217"/>
      <c r="I506" s="217"/>
      <c r="J506" s="230"/>
      <c r="K506" s="217"/>
      <c r="L506" s="217"/>
      <c r="M506" s="217"/>
      <c r="N506" s="59">
        <f>86428/1000</f>
        <v>86.428</v>
      </c>
      <c r="O506" s="59">
        <f>86428/1000</f>
        <v>86.428</v>
      </c>
      <c r="P506" s="59">
        <v>0</v>
      </c>
      <c r="Q506" s="59">
        <v>0</v>
      </c>
      <c r="R506" s="61">
        <v>0</v>
      </c>
      <c r="S506" s="61">
        <v>0</v>
      </c>
    </row>
    <row r="507" spans="1:19" s="5" customFormat="1" ht="23.25" customHeight="1" hidden="1" outlineLevel="1">
      <c r="A507" s="43"/>
      <c r="B507" s="11" t="s">
        <v>0</v>
      </c>
      <c r="C507" s="13"/>
      <c r="D507" s="44" t="s">
        <v>296</v>
      </c>
      <c r="E507" s="7"/>
      <c r="F507" s="7"/>
      <c r="G507" s="7"/>
      <c r="H507" s="7"/>
      <c r="I507" s="7"/>
      <c r="J507" s="7"/>
      <c r="K507" s="7" t="s">
        <v>63</v>
      </c>
      <c r="L507" s="7" t="s">
        <v>11</v>
      </c>
      <c r="M507" s="7" t="s">
        <v>149</v>
      </c>
      <c r="N507" s="51">
        <v>0</v>
      </c>
      <c r="O507" s="51"/>
      <c r="P507" s="51"/>
      <c r="Q507" s="57"/>
      <c r="R507" s="74"/>
      <c r="S507" s="74"/>
    </row>
    <row r="508" spans="1:19" s="5" customFormat="1" ht="24.75" customHeight="1" outlineLevel="1">
      <c r="A508" s="249"/>
      <c r="B508" s="195" t="s">
        <v>2</v>
      </c>
      <c r="C508" s="13"/>
      <c r="D508" s="212" t="s">
        <v>296</v>
      </c>
      <c r="E508" s="215" t="s">
        <v>554</v>
      </c>
      <c r="F508" s="215" t="s">
        <v>345</v>
      </c>
      <c r="G508" s="215" t="s">
        <v>555</v>
      </c>
      <c r="H508" s="215" t="s">
        <v>556</v>
      </c>
      <c r="I508" s="215" t="s">
        <v>557</v>
      </c>
      <c r="J508" s="228" t="s">
        <v>558</v>
      </c>
      <c r="K508" s="215" t="s">
        <v>929</v>
      </c>
      <c r="L508" s="215" t="s">
        <v>113</v>
      </c>
      <c r="M508" s="215" t="s">
        <v>912</v>
      </c>
      <c r="N508" s="185">
        <v>0</v>
      </c>
      <c r="O508" s="185">
        <v>0</v>
      </c>
      <c r="P508" s="53">
        <v>300</v>
      </c>
      <c r="Q508" s="53">
        <v>310</v>
      </c>
      <c r="R508" s="56">
        <v>326.1</v>
      </c>
      <c r="S508" s="56">
        <v>342.1</v>
      </c>
    </row>
    <row r="509" spans="1:19" s="5" customFormat="1" ht="24.75" customHeight="1" outlineLevel="1">
      <c r="A509" s="250"/>
      <c r="B509" s="196"/>
      <c r="C509" s="13"/>
      <c r="D509" s="213"/>
      <c r="E509" s="216"/>
      <c r="F509" s="216"/>
      <c r="G509" s="216"/>
      <c r="H509" s="216"/>
      <c r="I509" s="216"/>
      <c r="J509" s="229"/>
      <c r="K509" s="216"/>
      <c r="L509" s="216"/>
      <c r="M509" s="216"/>
      <c r="N509" s="186"/>
      <c r="O509" s="186"/>
      <c r="P509" s="54">
        <v>845</v>
      </c>
      <c r="Q509" s="54">
        <v>0</v>
      </c>
      <c r="R509" s="67">
        <v>0</v>
      </c>
      <c r="S509" s="67">
        <v>0</v>
      </c>
    </row>
    <row r="510" spans="1:19" s="5" customFormat="1" ht="22.5" customHeight="1" outlineLevel="1">
      <c r="A510" s="251"/>
      <c r="B510" s="198"/>
      <c r="C510" s="13"/>
      <c r="D510" s="214"/>
      <c r="E510" s="217"/>
      <c r="F510" s="217"/>
      <c r="G510" s="217"/>
      <c r="H510" s="217"/>
      <c r="I510" s="217"/>
      <c r="J510" s="230"/>
      <c r="K510" s="217"/>
      <c r="L510" s="217"/>
      <c r="M510" s="217"/>
      <c r="N510" s="187"/>
      <c r="O510" s="187"/>
      <c r="P510" s="59">
        <v>590</v>
      </c>
      <c r="Q510" s="59">
        <v>0</v>
      </c>
      <c r="R510" s="61">
        <v>0</v>
      </c>
      <c r="S510" s="61">
        <v>0</v>
      </c>
    </row>
    <row r="511" spans="1:19" s="5" customFormat="1" ht="82.5" customHeight="1" outlineLevel="1">
      <c r="A511" s="43"/>
      <c r="B511" s="11" t="s">
        <v>315</v>
      </c>
      <c r="C511" s="13"/>
      <c r="D511" s="44" t="s">
        <v>296</v>
      </c>
      <c r="E511" s="215" t="s">
        <v>509</v>
      </c>
      <c r="F511" s="215" t="s">
        <v>71</v>
      </c>
      <c r="G511" s="215" t="s">
        <v>510</v>
      </c>
      <c r="H511" s="215" t="s">
        <v>755</v>
      </c>
      <c r="I511" s="215" t="s">
        <v>756</v>
      </c>
      <c r="J511" s="215" t="s">
        <v>757</v>
      </c>
      <c r="K511" s="215" t="s">
        <v>932</v>
      </c>
      <c r="L511" s="215" t="s">
        <v>245</v>
      </c>
      <c r="M511" s="215" t="s">
        <v>346</v>
      </c>
      <c r="N511" s="51">
        <f>138975.69/1000</f>
        <v>138.97569000000001</v>
      </c>
      <c r="O511" s="51">
        <f>0</f>
        <v>0</v>
      </c>
      <c r="P511" s="51">
        <v>363</v>
      </c>
      <c r="Q511" s="51">
        <v>380</v>
      </c>
      <c r="R511" s="52">
        <v>400</v>
      </c>
      <c r="S511" s="52">
        <v>420</v>
      </c>
    </row>
    <row r="512" spans="1:19" s="5" customFormat="1" ht="47.25" customHeight="1" outlineLevel="1">
      <c r="A512" s="43"/>
      <c r="B512" s="32" t="s">
        <v>754</v>
      </c>
      <c r="C512" s="13"/>
      <c r="D512" s="212" t="s">
        <v>296</v>
      </c>
      <c r="E512" s="216"/>
      <c r="F512" s="216"/>
      <c r="G512" s="216"/>
      <c r="H512" s="216"/>
      <c r="I512" s="216"/>
      <c r="J512" s="216"/>
      <c r="K512" s="216"/>
      <c r="L512" s="216"/>
      <c r="M512" s="216"/>
      <c r="N512" s="51">
        <f>177706.62/1000</f>
        <v>177.70662</v>
      </c>
      <c r="O512" s="51">
        <v>0</v>
      </c>
      <c r="P512" s="51">
        <v>471.33702</v>
      </c>
      <c r="Q512" s="51">
        <v>0</v>
      </c>
      <c r="R512" s="52">
        <v>0</v>
      </c>
      <c r="S512" s="52">
        <v>0</v>
      </c>
    </row>
    <row r="513" spans="1:19" s="5" customFormat="1" ht="48" customHeight="1" outlineLevel="1">
      <c r="A513" s="42"/>
      <c r="B513" s="32" t="s">
        <v>1551</v>
      </c>
      <c r="C513" s="12"/>
      <c r="D513" s="214"/>
      <c r="E513" s="217"/>
      <c r="F513" s="217"/>
      <c r="G513" s="217"/>
      <c r="H513" s="217"/>
      <c r="I513" s="217"/>
      <c r="J513" s="217"/>
      <c r="K513" s="217"/>
      <c r="L513" s="217"/>
      <c r="M513" s="217"/>
      <c r="N513" s="51">
        <f>138975.69/1000</f>
        <v>138.97569000000001</v>
      </c>
      <c r="O513" s="51">
        <v>0</v>
      </c>
      <c r="P513" s="51">
        <v>359.19849</v>
      </c>
      <c r="Q513" s="51">
        <v>0</v>
      </c>
      <c r="R513" s="52">
        <v>0</v>
      </c>
      <c r="S513" s="52">
        <v>0</v>
      </c>
    </row>
    <row r="514" spans="1:19" s="6" customFormat="1" ht="69.75" customHeight="1">
      <c r="A514" s="38"/>
      <c r="B514" s="11" t="s">
        <v>53</v>
      </c>
      <c r="C514" s="12"/>
      <c r="D514" s="44" t="s">
        <v>305</v>
      </c>
      <c r="E514" s="7" t="s">
        <v>435</v>
      </c>
      <c r="F514" s="7" t="s">
        <v>57</v>
      </c>
      <c r="G514" s="7" t="s">
        <v>436</v>
      </c>
      <c r="H514" s="7"/>
      <c r="I514" s="7"/>
      <c r="J514" s="7"/>
      <c r="K514" s="34" t="s">
        <v>889</v>
      </c>
      <c r="L514" s="33" t="s">
        <v>402</v>
      </c>
      <c r="M514" s="33" t="s">
        <v>403</v>
      </c>
      <c r="N514" s="51">
        <f>322000/1000</f>
        <v>322</v>
      </c>
      <c r="O514" s="51">
        <f>290450/1000</f>
        <v>290.45</v>
      </c>
      <c r="P514" s="51">
        <v>0</v>
      </c>
      <c r="Q514" s="51">
        <v>0</v>
      </c>
      <c r="R514" s="52">
        <v>0</v>
      </c>
      <c r="S514" s="52">
        <v>0</v>
      </c>
    </row>
    <row r="515" spans="1:19" s="6" customFormat="1" ht="72.75" customHeight="1">
      <c r="A515" s="90"/>
      <c r="B515" s="25" t="s">
        <v>53</v>
      </c>
      <c r="C515" s="19"/>
      <c r="D515" s="45" t="s">
        <v>305</v>
      </c>
      <c r="E515" s="21" t="s">
        <v>435</v>
      </c>
      <c r="F515" s="21" t="s">
        <v>57</v>
      </c>
      <c r="G515" s="21" t="s">
        <v>436</v>
      </c>
      <c r="H515" s="21"/>
      <c r="I515" s="21"/>
      <c r="J515" s="21"/>
      <c r="K515" s="34" t="s">
        <v>1086</v>
      </c>
      <c r="L515" s="30" t="s">
        <v>245</v>
      </c>
      <c r="M515" s="30" t="s">
        <v>817</v>
      </c>
      <c r="N515" s="51">
        <v>0</v>
      </c>
      <c r="O515" s="53">
        <v>0</v>
      </c>
      <c r="P515" s="53">
        <v>524</v>
      </c>
      <c r="Q515" s="53">
        <v>386.5</v>
      </c>
      <c r="R515" s="56">
        <v>406.6</v>
      </c>
      <c r="S515" s="56">
        <v>426.5</v>
      </c>
    </row>
    <row r="516" spans="1:19" s="6" customFormat="1" ht="47.25" customHeight="1">
      <c r="A516" s="38"/>
      <c r="B516" s="11" t="s">
        <v>814</v>
      </c>
      <c r="C516" s="12"/>
      <c r="D516" s="44" t="s">
        <v>305</v>
      </c>
      <c r="E516" s="21" t="s">
        <v>435</v>
      </c>
      <c r="F516" s="21" t="s">
        <v>57</v>
      </c>
      <c r="G516" s="21" t="s">
        <v>436</v>
      </c>
      <c r="H516" s="7"/>
      <c r="I516" s="7"/>
      <c r="J516" s="7"/>
      <c r="K516" s="91" t="s">
        <v>810</v>
      </c>
      <c r="L516" s="30"/>
      <c r="M516" s="30"/>
      <c r="N516" s="51">
        <v>0</v>
      </c>
      <c r="O516" s="53">
        <v>0</v>
      </c>
      <c r="P516" s="53">
        <v>0</v>
      </c>
      <c r="Q516" s="51">
        <v>300</v>
      </c>
      <c r="R516" s="52">
        <v>315.6</v>
      </c>
      <c r="S516" s="52">
        <v>331.1</v>
      </c>
    </row>
    <row r="517" spans="1:19" s="6" customFormat="1" ht="59.25" customHeight="1">
      <c r="A517" s="38"/>
      <c r="B517" s="32" t="s">
        <v>527</v>
      </c>
      <c r="C517" s="12"/>
      <c r="D517" s="44" t="s">
        <v>305</v>
      </c>
      <c r="E517" s="7" t="s">
        <v>34</v>
      </c>
      <c r="F517" s="7" t="s">
        <v>507</v>
      </c>
      <c r="G517" s="7" t="s">
        <v>1116</v>
      </c>
      <c r="H517" s="7"/>
      <c r="I517" s="7"/>
      <c r="J517" s="7"/>
      <c r="K517" s="30" t="s">
        <v>537</v>
      </c>
      <c r="L517" s="30" t="s">
        <v>299</v>
      </c>
      <c r="M517" s="7" t="s">
        <v>538</v>
      </c>
      <c r="N517" s="51">
        <f>436000/1000</f>
        <v>436</v>
      </c>
      <c r="O517" s="51">
        <f>436000/1000</f>
        <v>436</v>
      </c>
      <c r="P517" s="51">
        <v>0</v>
      </c>
      <c r="Q517" s="51">
        <v>0</v>
      </c>
      <c r="R517" s="51">
        <v>0</v>
      </c>
      <c r="S517" s="51">
        <v>0</v>
      </c>
    </row>
    <row r="518" spans="1:19" s="6" customFormat="1" ht="204" customHeight="1">
      <c r="A518" s="38"/>
      <c r="B518" s="32" t="s">
        <v>528</v>
      </c>
      <c r="C518" s="12"/>
      <c r="D518" s="44" t="s">
        <v>296</v>
      </c>
      <c r="E518" s="7" t="s">
        <v>570</v>
      </c>
      <c r="F518" s="7" t="s">
        <v>571</v>
      </c>
      <c r="G518" s="7" t="s">
        <v>572</v>
      </c>
      <c r="H518" s="7"/>
      <c r="I518" s="7"/>
      <c r="J518" s="7"/>
      <c r="K518" s="30" t="s">
        <v>573</v>
      </c>
      <c r="L518" s="30" t="s">
        <v>299</v>
      </c>
      <c r="M518" s="7" t="s">
        <v>574</v>
      </c>
      <c r="N518" s="51">
        <f>1000000/1000</f>
        <v>1000</v>
      </c>
      <c r="O518" s="51">
        <f>1000000/1000</f>
        <v>1000</v>
      </c>
      <c r="P518" s="51">
        <v>0</v>
      </c>
      <c r="Q518" s="51">
        <v>0</v>
      </c>
      <c r="R518" s="51">
        <v>0</v>
      </c>
      <c r="S518" s="51">
        <v>0</v>
      </c>
    </row>
    <row r="519" spans="1:19" s="6" customFormat="1" ht="228.75" customHeight="1">
      <c r="A519" s="38"/>
      <c r="B519" s="32" t="s">
        <v>567</v>
      </c>
      <c r="C519" s="12"/>
      <c r="D519" s="44" t="s">
        <v>296</v>
      </c>
      <c r="E519" s="7" t="s">
        <v>570</v>
      </c>
      <c r="F519" s="7" t="s">
        <v>571</v>
      </c>
      <c r="G519" s="7" t="s">
        <v>572</v>
      </c>
      <c r="H519" s="7" t="s">
        <v>568</v>
      </c>
      <c r="I519" s="7" t="s">
        <v>86</v>
      </c>
      <c r="J519" s="7" t="s">
        <v>569</v>
      </c>
      <c r="K519" s="99" t="s">
        <v>890</v>
      </c>
      <c r="L519" s="99" t="s">
        <v>71</v>
      </c>
      <c r="M519" s="99" t="s">
        <v>893</v>
      </c>
      <c r="N519" s="51">
        <f>1000000/1000</f>
        <v>1000</v>
      </c>
      <c r="O519" s="51">
        <f>1000000/1000</f>
        <v>1000</v>
      </c>
      <c r="P519" s="51">
        <v>0</v>
      </c>
      <c r="Q519" s="51">
        <v>0</v>
      </c>
      <c r="R519" s="51">
        <v>0</v>
      </c>
      <c r="S519" s="51">
        <v>0</v>
      </c>
    </row>
    <row r="520" spans="1:19" s="6" customFormat="1" ht="71.25" customHeight="1">
      <c r="A520" s="38"/>
      <c r="B520" s="32" t="s">
        <v>529</v>
      </c>
      <c r="C520" s="12"/>
      <c r="D520" s="44" t="s">
        <v>305</v>
      </c>
      <c r="E520" s="7" t="s">
        <v>34</v>
      </c>
      <c r="F520" s="7" t="s">
        <v>507</v>
      </c>
      <c r="G520" s="7" t="s">
        <v>1116</v>
      </c>
      <c r="H520" s="7" t="s">
        <v>586</v>
      </c>
      <c r="I520" s="7" t="s">
        <v>71</v>
      </c>
      <c r="J520" s="7" t="s">
        <v>587</v>
      </c>
      <c r="K520" s="29" t="s">
        <v>539</v>
      </c>
      <c r="L520" s="29" t="s">
        <v>200</v>
      </c>
      <c r="M520" s="23" t="s">
        <v>540</v>
      </c>
      <c r="N520" s="51">
        <f>99990/1000</f>
        <v>99.99</v>
      </c>
      <c r="O520" s="51">
        <f>99990/1000</f>
        <v>99.99</v>
      </c>
      <c r="P520" s="51">
        <v>0</v>
      </c>
      <c r="Q520" s="51">
        <v>0</v>
      </c>
      <c r="R520" s="51">
        <v>0</v>
      </c>
      <c r="S520" s="51">
        <v>0</v>
      </c>
    </row>
    <row r="521" spans="1:19" s="6" customFormat="1" ht="72" customHeight="1">
      <c r="A521" s="38"/>
      <c r="B521" s="32" t="s">
        <v>585</v>
      </c>
      <c r="C521" s="12"/>
      <c r="D521" s="44" t="s">
        <v>305</v>
      </c>
      <c r="E521" s="7" t="s">
        <v>34</v>
      </c>
      <c r="F521" s="7" t="s">
        <v>507</v>
      </c>
      <c r="G521" s="7" t="s">
        <v>1116</v>
      </c>
      <c r="H521" s="7" t="s">
        <v>588</v>
      </c>
      <c r="I521" s="7" t="s">
        <v>71</v>
      </c>
      <c r="J521" s="7" t="s">
        <v>589</v>
      </c>
      <c r="K521" s="29" t="s">
        <v>590</v>
      </c>
      <c r="L521" s="29" t="s">
        <v>430</v>
      </c>
      <c r="M521" s="23" t="s">
        <v>591</v>
      </c>
      <c r="N521" s="51">
        <f>99000/1000</f>
        <v>99</v>
      </c>
      <c r="O521" s="51">
        <f>99000/1000</f>
        <v>99</v>
      </c>
      <c r="P521" s="51">
        <v>0</v>
      </c>
      <c r="Q521" s="51">
        <v>0</v>
      </c>
      <c r="R521" s="51">
        <v>0</v>
      </c>
      <c r="S521" s="51">
        <v>0</v>
      </c>
    </row>
    <row r="522" spans="1:19" s="6" customFormat="1" ht="81.75" customHeight="1">
      <c r="A522" s="38"/>
      <c r="B522" s="32" t="s">
        <v>561</v>
      </c>
      <c r="C522" s="12"/>
      <c r="D522" s="212" t="s">
        <v>305</v>
      </c>
      <c r="E522" s="215" t="s">
        <v>511</v>
      </c>
      <c r="F522" s="215" t="s">
        <v>512</v>
      </c>
      <c r="G522" s="215" t="s">
        <v>436</v>
      </c>
      <c r="H522" s="7" t="s">
        <v>564</v>
      </c>
      <c r="I522" s="7" t="s">
        <v>245</v>
      </c>
      <c r="J522" s="7" t="s">
        <v>536</v>
      </c>
      <c r="K522" s="264" t="s">
        <v>562</v>
      </c>
      <c r="L522" s="264" t="s">
        <v>86</v>
      </c>
      <c r="M522" s="264" t="s">
        <v>563</v>
      </c>
      <c r="N522" s="53">
        <f>95374.8/1000</f>
        <v>95.37480000000001</v>
      </c>
      <c r="O522" s="53">
        <f>95374.8/1000</f>
        <v>95.37480000000001</v>
      </c>
      <c r="P522" s="53">
        <v>0</v>
      </c>
      <c r="Q522" s="53">
        <v>0</v>
      </c>
      <c r="R522" s="53">
        <v>0</v>
      </c>
      <c r="S522" s="53">
        <v>0</v>
      </c>
    </row>
    <row r="523" spans="1:19" s="6" customFormat="1" ht="82.5" customHeight="1">
      <c r="A523" s="38"/>
      <c r="B523" s="32" t="s">
        <v>530</v>
      </c>
      <c r="C523" s="12"/>
      <c r="D523" s="213"/>
      <c r="E523" s="216"/>
      <c r="F523" s="216"/>
      <c r="G523" s="216"/>
      <c r="H523" s="21" t="s">
        <v>565</v>
      </c>
      <c r="I523" s="21" t="s">
        <v>245</v>
      </c>
      <c r="J523" s="21" t="s">
        <v>566</v>
      </c>
      <c r="K523" s="265"/>
      <c r="L523" s="265"/>
      <c r="M523" s="265"/>
      <c r="N523" s="54">
        <f>97991.12/1000</f>
        <v>97.99112</v>
      </c>
      <c r="O523" s="54">
        <f>97991.12/1000</f>
        <v>97.99112</v>
      </c>
      <c r="P523" s="54">
        <v>0</v>
      </c>
      <c r="Q523" s="54">
        <v>0</v>
      </c>
      <c r="R523" s="54">
        <v>0</v>
      </c>
      <c r="S523" s="54">
        <v>0</v>
      </c>
    </row>
    <row r="524" spans="1:19" s="6" customFormat="1" ht="82.5" customHeight="1">
      <c r="A524" s="38"/>
      <c r="B524" s="32" t="s">
        <v>617</v>
      </c>
      <c r="C524" s="12"/>
      <c r="D524" s="214"/>
      <c r="E524" s="216"/>
      <c r="F524" s="216"/>
      <c r="G524" s="216"/>
      <c r="H524" s="22" t="s">
        <v>620</v>
      </c>
      <c r="I524" s="22" t="s">
        <v>621</v>
      </c>
      <c r="J524" s="22" t="s">
        <v>622</v>
      </c>
      <c r="K524" s="92" t="s">
        <v>891</v>
      </c>
      <c r="L524" s="92" t="s">
        <v>71</v>
      </c>
      <c r="M524" s="92" t="s">
        <v>892</v>
      </c>
      <c r="N524" s="54">
        <f>3000000/1000</f>
        <v>3000</v>
      </c>
      <c r="O524" s="54">
        <f>3000000/1000</f>
        <v>3000</v>
      </c>
      <c r="P524" s="54">
        <v>0</v>
      </c>
      <c r="Q524" s="54">
        <v>0</v>
      </c>
      <c r="R524" s="54">
        <v>0</v>
      </c>
      <c r="S524" s="54">
        <v>0</v>
      </c>
    </row>
    <row r="525" spans="1:19" s="6" customFormat="1" ht="82.5" customHeight="1">
      <c r="A525" s="38"/>
      <c r="B525" s="32" t="s">
        <v>618</v>
      </c>
      <c r="C525" s="12"/>
      <c r="D525" s="72" t="s">
        <v>305</v>
      </c>
      <c r="E525" s="217"/>
      <c r="F525" s="217"/>
      <c r="G525" s="217"/>
      <c r="H525" s="23" t="s">
        <v>623</v>
      </c>
      <c r="I525" s="23" t="s">
        <v>753</v>
      </c>
      <c r="J525" s="23" t="s">
        <v>640</v>
      </c>
      <c r="K525" s="29" t="s">
        <v>751</v>
      </c>
      <c r="L525" s="29" t="s">
        <v>71</v>
      </c>
      <c r="M525" s="29" t="s">
        <v>752</v>
      </c>
      <c r="N525" s="59">
        <f>3000000/1000</f>
        <v>3000</v>
      </c>
      <c r="O525" s="59">
        <f>3000000/1000</f>
        <v>3000</v>
      </c>
      <c r="P525" s="59">
        <v>0</v>
      </c>
      <c r="Q525" s="59">
        <v>0</v>
      </c>
      <c r="R525" s="59">
        <v>0</v>
      </c>
      <c r="S525" s="59">
        <v>0</v>
      </c>
    </row>
    <row r="526" spans="1:19" s="6" customFormat="1" ht="94.5" customHeight="1">
      <c r="A526" s="38"/>
      <c r="B526" s="32" t="s">
        <v>619</v>
      </c>
      <c r="C526" s="12"/>
      <c r="D526" s="72" t="s">
        <v>305</v>
      </c>
      <c r="E526" s="99" t="s">
        <v>511</v>
      </c>
      <c r="F526" s="325" t="s">
        <v>57</v>
      </c>
      <c r="G526" s="99" t="s">
        <v>436</v>
      </c>
      <c r="H526" s="7" t="s">
        <v>629</v>
      </c>
      <c r="I526" s="7" t="s">
        <v>630</v>
      </c>
      <c r="J526" s="7" t="s">
        <v>631</v>
      </c>
      <c r="K526" s="29" t="s">
        <v>750</v>
      </c>
      <c r="L526" s="29" t="s">
        <v>86</v>
      </c>
      <c r="M526" s="29" t="s">
        <v>698</v>
      </c>
      <c r="N526" s="51">
        <f>40040/1000</f>
        <v>40.04</v>
      </c>
      <c r="O526" s="51">
        <f>40040/1000</f>
        <v>40.04</v>
      </c>
      <c r="P526" s="51">
        <v>0</v>
      </c>
      <c r="Q526" s="51">
        <v>0</v>
      </c>
      <c r="R526" s="51">
        <v>0</v>
      </c>
      <c r="S526" s="51">
        <v>0</v>
      </c>
    </row>
    <row r="527" spans="1:19" s="6" customFormat="1" ht="108" customHeight="1">
      <c r="A527" s="38"/>
      <c r="B527" s="32" t="s">
        <v>1567</v>
      </c>
      <c r="C527" s="12"/>
      <c r="D527" s="72" t="s">
        <v>305</v>
      </c>
      <c r="E527" s="7" t="s">
        <v>34</v>
      </c>
      <c r="F527" s="7" t="s">
        <v>507</v>
      </c>
      <c r="G527" s="7" t="s">
        <v>1116</v>
      </c>
      <c r="H527" s="130" t="s">
        <v>1487</v>
      </c>
      <c r="I527" s="130" t="s">
        <v>1488</v>
      </c>
      <c r="J527" s="130" t="s">
        <v>1489</v>
      </c>
      <c r="K527" s="29" t="s">
        <v>1565</v>
      </c>
      <c r="L527" s="29" t="s">
        <v>1203</v>
      </c>
      <c r="M527" s="29" t="s">
        <v>1566</v>
      </c>
      <c r="N527" s="51">
        <v>0</v>
      </c>
      <c r="O527" s="51">
        <v>0</v>
      </c>
      <c r="P527" s="51">
        <f>112+97.07074</f>
        <v>209.07074</v>
      </c>
      <c r="Q527" s="51">
        <v>0</v>
      </c>
      <c r="R527" s="51">
        <v>0</v>
      </c>
      <c r="S527" s="51">
        <v>0</v>
      </c>
    </row>
    <row r="528" spans="1:19" s="6" customFormat="1" ht="70.5" customHeight="1">
      <c r="A528" s="38"/>
      <c r="B528" s="32" t="s">
        <v>847</v>
      </c>
      <c r="C528" s="12"/>
      <c r="D528" s="72" t="s">
        <v>305</v>
      </c>
      <c r="E528" s="7" t="s">
        <v>34</v>
      </c>
      <c r="F528" s="7" t="s">
        <v>507</v>
      </c>
      <c r="G528" s="7" t="s">
        <v>1116</v>
      </c>
      <c r="H528" s="7" t="s">
        <v>848</v>
      </c>
      <c r="I528" s="7" t="s">
        <v>71</v>
      </c>
      <c r="J528" s="7" t="s">
        <v>859</v>
      </c>
      <c r="K528" s="91" t="s">
        <v>860</v>
      </c>
      <c r="L528" s="30" t="s">
        <v>245</v>
      </c>
      <c r="M528" s="30" t="s">
        <v>861</v>
      </c>
      <c r="N528" s="51">
        <v>0</v>
      </c>
      <c r="O528" s="51">
        <v>0</v>
      </c>
      <c r="P528" s="51">
        <f>81250/1000</f>
        <v>81.25</v>
      </c>
      <c r="Q528" s="51">
        <v>0</v>
      </c>
      <c r="R528" s="51">
        <v>0</v>
      </c>
      <c r="S528" s="51">
        <v>0</v>
      </c>
    </row>
    <row r="529" spans="1:19" s="6" customFormat="1" ht="131.25" customHeight="1">
      <c r="A529" s="38"/>
      <c r="B529" s="32" t="s">
        <v>1562</v>
      </c>
      <c r="C529" s="12"/>
      <c r="D529" s="72" t="s">
        <v>206</v>
      </c>
      <c r="E529" s="22" t="s">
        <v>203</v>
      </c>
      <c r="F529" s="22" t="s">
        <v>204</v>
      </c>
      <c r="G529" s="22" t="s">
        <v>1197</v>
      </c>
      <c r="H529" s="7" t="s">
        <v>1617</v>
      </c>
      <c r="I529" s="7" t="s">
        <v>194</v>
      </c>
      <c r="J529" s="7" t="s">
        <v>822</v>
      </c>
      <c r="K529" s="91" t="s">
        <v>1424</v>
      </c>
      <c r="L529" s="30" t="s">
        <v>194</v>
      </c>
      <c r="M529" s="30" t="s">
        <v>1344</v>
      </c>
      <c r="N529" s="51">
        <v>0</v>
      </c>
      <c r="O529" s="51">
        <v>0</v>
      </c>
      <c r="P529" s="51">
        <v>2400.74</v>
      </c>
      <c r="Q529" s="51">
        <v>0</v>
      </c>
      <c r="R529" s="51">
        <v>0</v>
      </c>
      <c r="S529" s="51">
        <v>0</v>
      </c>
    </row>
    <row r="530" spans="1:19" s="2" customFormat="1" ht="12.75">
      <c r="A530" s="43"/>
      <c r="B530" s="177" t="s">
        <v>1615</v>
      </c>
      <c r="C530" s="178"/>
      <c r="D530" s="178"/>
      <c r="E530" s="178"/>
      <c r="F530" s="178"/>
      <c r="G530" s="178"/>
      <c r="H530" s="178"/>
      <c r="I530" s="178"/>
      <c r="J530" s="178"/>
      <c r="K530" s="178"/>
      <c r="L530" s="178"/>
      <c r="M530" s="179"/>
      <c r="N530" s="50">
        <f>N6+N447+N498+N257</f>
        <v>1041279.11321</v>
      </c>
      <c r="O530" s="50">
        <f>O6+O447+O498+O257</f>
        <v>995853.3501710001</v>
      </c>
      <c r="P530" s="50">
        <f>P6+P447+P498+P257</f>
        <v>1234196.85571</v>
      </c>
      <c r="Q530" s="50">
        <f>Q6+Q447+Q498+Q257</f>
        <v>976088.9</v>
      </c>
      <c r="R530" s="50">
        <f>R6+R447+R498+R257</f>
        <v>979096.1</v>
      </c>
      <c r="S530" s="50">
        <f>S6+S447+S498+S257</f>
        <v>1031146.2000000001</v>
      </c>
    </row>
    <row r="531" ht="8.25" customHeight="1"/>
    <row r="532" spans="9:13" ht="38.25" customHeight="1">
      <c r="I532" s="119"/>
      <c r="J532" s="119"/>
      <c r="K532" s="119"/>
      <c r="L532" s="119"/>
      <c r="M532" s="119"/>
    </row>
    <row r="533" spans="1:18" s="2" customFormat="1" ht="15" customHeight="1">
      <c r="A533" s="113"/>
      <c r="B533" s="113" t="s">
        <v>1616</v>
      </c>
      <c r="C533" s="113"/>
      <c r="D533" s="243"/>
      <c r="E533" s="243"/>
      <c r="F533" s="243"/>
      <c r="G533" s="243"/>
      <c r="H533" s="114" t="s">
        <v>976</v>
      </c>
      <c r="I533" s="244" t="s">
        <v>977</v>
      </c>
      <c r="J533" s="244"/>
      <c r="K533" s="244"/>
      <c r="L533" s="244"/>
      <c r="M533" s="244"/>
      <c r="N533" s="115"/>
      <c r="O533" s="116"/>
      <c r="P533" s="115"/>
      <c r="Q533" s="8"/>
      <c r="R533" s="8"/>
    </row>
    <row r="534" spans="1:18" s="2" customFormat="1" ht="22.5" customHeight="1">
      <c r="A534" s="8"/>
      <c r="B534" s="8"/>
      <c r="C534" s="8"/>
      <c r="D534" s="240"/>
      <c r="E534" s="240"/>
      <c r="F534" s="240"/>
      <c r="G534" s="240"/>
      <c r="H534" s="117" t="s">
        <v>978</v>
      </c>
      <c r="I534" s="241" t="s">
        <v>979</v>
      </c>
      <c r="J534" s="241"/>
      <c r="K534" s="241"/>
      <c r="L534" s="240"/>
      <c r="M534" s="240"/>
      <c r="N534" s="116"/>
      <c r="O534" s="116"/>
      <c r="P534" s="117"/>
      <c r="Q534" s="116"/>
      <c r="R534" s="8"/>
    </row>
    <row r="535" spans="1:18" s="2" customFormat="1" ht="20.25" customHeight="1">
      <c r="A535" s="8"/>
      <c r="B535" s="8" t="s">
        <v>980</v>
      </c>
      <c r="C535" s="8"/>
      <c r="D535" s="8"/>
      <c r="E535" s="8"/>
      <c r="F535" s="8"/>
      <c r="G535" s="8"/>
      <c r="H535" s="118"/>
      <c r="I535" s="8"/>
      <c r="J535" s="8"/>
      <c r="K535" s="118"/>
      <c r="L535" s="8"/>
      <c r="M535" s="117"/>
      <c r="N535" s="116"/>
      <c r="O535" s="116"/>
      <c r="P535" s="8"/>
      <c r="Q535" s="8"/>
      <c r="R535" s="8"/>
    </row>
  </sheetData>
  <sheetProtection/>
  <autoFilter ref="A4:R530"/>
  <mergeCells count="957">
    <mergeCell ref="L247:L250"/>
    <mergeCell ref="M247:M250"/>
    <mergeCell ref="H243:H251"/>
    <mergeCell ref="I243:I250"/>
    <mergeCell ref="J243:J250"/>
    <mergeCell ref="K451:K456"/>
    <mergeCell ref="L451:L456"/>
    <mergeCell ref="M451:M456"/>
    <mergeCell ref="E93:E94"/>
    <mergeCell ref="E242:E250"/>
    <mergeCell ref="F242:F250"/>
    <mergeCell ref="G242:G250"/>
    <mergeCell ref="D512:D513"/>
    <mergeCell ref="I442:I443"/>
    <mergeCell ref="E171:E172"/>
    <mergeCell ref="F171:F172"/>
    <mergeCell ref="G171:G172"/>
    <mergeCell ref="H171:H172"/>
    <mergeCell ref="J442:J443"/>
    <mergeCell ref="G442:G443"/>
    <mergeCell ref="F442:F443"/>
    <mergeCell ref="E442:E443"/>
    <mergeCell ref="D442:D443"/>
    <mergeCell ref="F504:F506"/>
    <mergeCell ref="E488:E489"/>
    <mergeCell ref="I495:I497"/>
    <mergeCell ref="B442:B443"/>
    <mergeCell ref="A442:A443"/>
    <mergeCell ref="H442:H443"/>
    <mergeCell ref="H420:H422"/>
    <mergeCell ref="E428:E429"/>
    <mergeCell ref="F428:F429"/>
    <mergeCell ref="G428:G429"/>
    <mergeCell ref="H428:H429"/>
    <mergeCell ref="D434:D435"/>
    <mergeCell ref="J428:J429"/>
    <mergeCell ref="E420:E422"/>
    <mergeCell ref="A242:A247"/>
    <mergeCell ref="N14:N15"/>
    <mergeCell ref="O14:O15"/>
    <mergeCell ref="N74:N77"/>
    <mergeCell ref="E237:E239"/>
    <mergeCell ref="F237:F239"/>
    <mergeCell ref="I171:I172"/>
    <mergeCell ref="K171:K172"/>
    <mergeCell ref="Q14:Q15"/>
    <mergeCell ref="R14:R15"/>
    <mergeCell ref="R52:R53"/>
    <mergeCell ref="E432:E433"/>
    <mergeCell ref="F432:F433"/>
    <mergeCell ref="G432:G433"/>
    <mergeCell ref="H432:H433"/>
    <mergeCell ref="I432:I433"/>
    <mergeCell ref="J432:J433"/>
    <mergeCell ref="I428:I429"/>
    <mergeCell ref="J420:J422"/>
    <mergeCell ref="F412:F415"/>
    <mergeCell ref="G412:G415"/>
    <mergeCell ref="P14:P15"/>
    <mergeCell ref="L171:L172"/>
    <mergeCell ref="M171:M172"/>
    <mergeCell ref="I389:I390"/>
    <mergeCell ref="J389:J390"/>
    <mergeCell ref="I397:I398"/>
    <mergeCell ref="K247:K250"/>
    <mergeCell ref="E397:E398"/>
    <mergeCell ref="F397:F398"/>
    <mergeCell ref="G397:G398"/>
    <mergeCell ref="H397:H398"/>
    <mergeCell ref="F420:F422"/>
    <mergeCell ref="G420:G422"/>
    <mergeCell ref="E412:E415"/>
    <mergeCell ref="E391:E394"/>
    <mergeCell ref="F391:F394"/>
    <mergeCell ref="G391:G394"/>
    <mergeCell ref="H391:H394"/>
    <mergeCell ref="I391:I394"/>
    <mergeCell ref="J391:J394"/>
    <mergeCell ref="O434:O435"/>
    <mergeCell ref="P434:P435"/>
    <mergeCell ref="M263:M264"/>
    <mergeCell ref="R434:R435"/>
    <mergeCell ref="D262:D264"/>
    <mergeCell ref="E262:E264"/>
    <mergeCell ref="F262:F264"/>
    <mergeCell ref="G262:G264"/>
    <mergeCell ref="G434:G435"/>
    <mergeCell ref="E331:E332"/>
    <mergeCell ref="K263:K264"/>
    <mergeCell ref="Q432:Q433"/>
    <mergeCell ref="R432:R433"/>
    <mergeCell ref="S432:S433"/>
    <mergeCell ref="S434:S435"/>
    <mergeCell ref="H262:H264"/>
    <mergeCell ref="I262:I264"/>
    <mergeCell ref="H389:H390"/>
    <mergeCell ref="J397:J398"/>
    <mergeCell ref="R428:R429"/>
    <mergeCell ref="Q434:Q435"/>
    <mergeCell ref="A432:A433"/>
    <mergeCell ref="B432:B433"/>
    <mergeCell ref="D432:D433"/>
    <mergeCell ref="N432:N433"/>
    <mergeCell ref="O432:O433"/>
    <mergeCell ref="P432:P433"/>
    <mergeCell ref="E434:E435"/>
    <mergeCell ref="F434:F435"/>
    <mergeCell ref="N434:N435"/>
    <mergeCell ref="R420:R422"/>
    <mergeCell ref="S420:S422"/>
    <mergeCell ref="B428:B429"/>
    <mergeCell ref="A428:A429"/>
    <mergeCell ref="D428:D429"/>
    <mergeCell ref="N428:N429"/>
    <mergeCell ref="O428:O429"/>
    <mergeCell ref="P428:P429"/>
    <mergeCell ref="Q428:Q429"/>
    <mergeCell ref="I420:I422"/>
    <mergeCell ref="Q412:Q415"/>
    <mergeCell ref="R412:R415"/>
    <mergeCell ref="S412:S415"/>
    <mergeCell ref="A420:A422"/>
    <mergeCell ref="B420:B422"/>
    <mergeCell ref="D420:D422"/>
    <mergeCell ref="N420:N422"/>
    <mergeCell ref="O420:O422"/>
    <mergeCell ref="P420:P422"/>
    <mergeCell ref="Q420:Q422"/>
    <mergeCell ref="R397:R398"/>
    <mergeCell ref="A412:A415"/>
    <mergeCell ref="B412:B415"/>
    <mergeCell ref="D412:D415"/>
    <mergeCell ref="N412:N415"/>
    <mergeCell ref="O412:O415"/>
    <mergeCell ref="P412:P415"/>
    <mergeCell ref="H412:H415"/>
    <mergeCell ref="I412:I415"/>
    <mergeCell ref="J412:J415"/>
    <mergeCell ref="Q391:Q394"/>
    <mergeCell ref="R391:R394"/>
    <mergeCell ref="S391:S394"/>
    <mergeCell ref="A397:A398"/>
    <mergeCell ref="B397:B398"/>
    <mergeCell ref="D397:D398"/>
    <mergeCell ref="N397:N398"/>
    <mergeCell ref="O397:O398"/>
    <mergeCell ref="P397:P398"/>
    <mergeCell ref="Q397:Q398"/>
    <mergeCell ref="P389:P390"/>
    <mergeCell ref="Q389:Q390"/>
    <mergeCell ref="R389:R390"/>
    <mergeCell ref="S389:S390"/>
    <mergeCell ref="A391:A394"/>
    <mergeCell ref="B391:B394"/>
    <mergeCell ref="D391:D394"/>
    <mergeCell ref="N391:N394"/>
    <mergeCell ref="O391:O394"/>
    <mergeCell ref="P391:P394"/>
    <mergeCell ref="O389:O390"/>
    <mergeCell ref="I336:I338"/>
    <mergeCell ref="J336:J338"/>
    <mergeCell ref="E389:E390"/>
    <mergeCell ref="F389:F390"/>
    <mergeCell ref="G389:G390"/>
    <mergeCell ref="E336:E338"/>
    <mergeCell ref="F336:F338"/>
    <mergeCell ref="G336:G338"/>
    <mergeCell ref="B389:B390"/>
    <mergeCell ref="A389:A390"/>
    <mergeCell ref="D389:D390"/>
    <mergeCell ref="A331:A332"/>
    <mergeCell ref="N331:N332"/>
    <mergeCell ref="N389:N390"/>
    <mergeCell ref="F331:F332"/>
    <mergeCell ref="G331:G332"/>
    <mergeCell ref="H331:H332"/>
    <mergeCell ref="I331:I332"/>
    <mergeCell ref="D336:D338"/>
    <mergeCell ref="Q331:Q332"/>
    <mergeCell ref="B336:B338"/>
    <mergeCell ref="A336:A338"/>
    <mergeCell ref="N336:N338"/>
    <mergeCell ref="O336:O338"/>
    <mergeCell ref="H336:H338"/>
    <mergeCell ref="J331:J332"/>
    <mergeCell ref="S302:S303"/>
    <mergeCell ref="P302:P303"/>
    <mergeCell ref="R336:R338"/>
    <mergeCell ref="B331:B332"/>
    <mergeCell ref="D331:D332"/>
    <mergeCell ref="R331:R332"/>
    <mergeCell ref="P336:P338"/>
    <mergeCell ref="Q336:Q338"/>
    <mergeCell ref="O331:O332"/>
    <mergeCell ref="P331:P332"/>
    <mergeCell ref="G315:G316"/>
    <mergeCell ref="H315:H316"/>
    <mergeCell ref="P315:P316"/>
    <mergeCell ref="O315:O316"/>
    <mergeCell ref="Q302:Q303"/>
    <mergeCell ref="R302:R303"/>
    <mergeCell ref="J302:J303"/>
    <mergeCell ref="N302:N303"/>
    <mergeCell ref="B315:B316"/>
    <mergeCell ref="O302:O303"/>
    <mergeCell ref="D315:D316"/>
    <mergeCell ref="I315:I316"/>
    <mergeCell ref="J315:J316"/>
    <mergeCell ref="N315:N316"/>
    <mergeCell ref="E315:E316"/>
    <mergeCell ref="F315:F316"/>
    <mergeCell ref="P262:P263"/>
    <mergeCell ref="N262:N263"/>
    <mergeCell ref="O262:O263"/>
    <mergeCell ref="Q262:Q263"/>
    <mergeCell ref="I287:I288"/>
    <mergeCell ref="J287:J288"/>
    <mergeCell ref="N287:N288"/>
    <mergeCell ref="O287:O288"/>
    <mergeCell ref="P287:P288"/>
    <mergeCell ref="Q287:Q288"/>
    <mergeCell ref="H52:H53"/>
    <mergeCell ref="I52:I53"/>
    <mergeCell ref="J52:J53"/>
    <mergeCell ref="N52:N53"/>
    <mergeCell ref="S495:S497"/>
    <mergeCell ref="L263:L264"/>
    <mergeCell ref="Q52:Q53"/>
    <mergeCell ref="S237:S238"/>
    <mergeCell ref="S52:S53"/>
    <mergeCell ref="R262:R263"/>
    <mergeCell ref="S262:S263"/>
    <mergeCell ref="R287:R288"/>
    <mergeCell ref="S451:S456"/>
    <mergeCell ref="Q2:S2"/>
    <mergeCell ref="S488:S489"/>
    <mergeCell ref="S287:S288"/>
    <mergeCell ref="Q315:Q316"/>
    <mergeCell ref="R315:R316"/>
    <mergeCell ref="S315:S316"/>
    <mergeCell ref="S74:S77"/>
    <mergeCell ref="S81:S84"/>
    <mergeCell ref="S93:S96"/>
    <mergeCell ref="S107:S111"/>
    <mergeCell ref="S336:S338"/>
    <mergeCell ref="S331:S332"/>
    <mergeCell ref="S397:S398"/>
    <mergeCell ref="S428:S429"/>
    <mergeCell ref="S187:S188"/>
    <mergeCell ref="A168:A170"/>
    <mergeCell ref="D218:D219"/>
    <mergeCell ref="S9:S11"/>
    <mergeCell ref="S19:S21"/>
    <mergeCell ref="S30:S32"/>
    <mergeCell ref="S50:S51"/>
    <mergeCell ref="S55:S56"/>
    <mergeCell ref="S23:S26"/>
    <mergeCell ref="S14:S15"/>
    <mergeCell ref="S151:S158"/>
    <mergeCell ref="N161:N162"/>
    <mergeCell ref="K129:K131"/>
    <mergeCell ref="M151:M156"/>
    <mergeCell ref="K161:K162"/>
    <mergeCell ref="S59:S60"/>
    <mergeCell ref="G237:G239"/>
    <mergeCell ref="G97:G98"/>
    <mergeCell ref="S159:S160"/>
    <mergeCell ref="S161:S162"/>
    <mergeCell ref="S63:S64"/>
    <mergeCell ref="A63:A64"/>
    <mergeCell ref="D55:D56"/>
    <mergeCell ref="L129:L131"/>
    <mergeCell ref="M129:M131"/>
    <mergeCell ref="L161:L162"/>
    <mergeCell ref="M161:M162"/>
    <mergeCell ref="A159:A162"/>
    <mergeCell ref="B159:B162"/>
    <mergeCell ref="E97:E98"/>
    <mergeCell ref="F97:F98"/>
    <mergeCell ref="A129:A131"/>
    <mergeCell ref="E129:E131"/>
    <mergeCell ref="F129:F131"/>
    <mergeCell ref="G129:G131"/>
    <mergeCell ref="H129:H131"/>
    <mergeCell ref="J74:J75"/>
    <mergeCell ref="A97:A98"/>
    <mergeCell ref="J93:J94"/>
    <mergeCell ref="I93:I94"/>
    <mergeCell ref="H93:H94"/>
    <mergeCell ref="Q55:Q56"/>
    <mergeCell ref="J55:J56"/>
    <mergeCell ref="P55:P56"/>
    <mergeCell ref="O52:O53"/>
    <mergeCell ref="P52:P53"/>
    <mergeCell ref="O55:O56"/>
    <mergeCell ref="N55:N56"/>
    <mergeCell ref="E45:E47"/>
    <mergeCell ref="F45:F47"/>
    <mergeCell ref="A55:A56"/>
    <mergeCell ref="E55:E56"/>
    <mergeCell ref="A50:A51"/>
    <mergeCell ref="B50:B51"/>
    <mergeCell ref="D50:D51"/>
    <mergeCell ref="B55:B56"/>
    <mergeCell ref="E50:E51"/>
    <mergeCell ref="P10:P11"/>
    <mergeCell ref="Q9:Q11"/>
    <mergeCell ref="P30:P32"/>
    <mergeCell ref="K11:K12"/>
    <mergeCell ref="P19:P21"/>
    <mergeCell ref="B41:M41"/>
    <mergeCell ref="I20:I21"/>
    <mergeCell ref="J20:J21"/>
    <mergeCell ref="M20:M21"/>
    <mergeCell ref="L20:L21"/>
    <mergeCell ref="J76:J77"/>
    <mergeCell ref="G115:G116"/>
    <mergeCell ref="I74:I75"/>
    <mergeCell ref="J63:J64"/>
    <mergeCell ref="C95:C96"/>
    <mergeCell ref="J115:J116"/>
    <mergeCell ref="B72:M72"/>
    <mergeCell ref="G63:G64"/>
    <mergeCell ref="G93:G94"/>
    <mergeCell ref="F93:F94"/>
    <mergeCell ref="A93:A96"/>
    <mergeCell ref="B93:B96"/>
    <mergeCell ref="D93:D96"/>
    <mergeCell ref="G45:G47"/>
    <mergeCell ref="B52:B53"/>
    <mergeCell ref="A52:A53"/>
    <mergeCell ref="G79:G80"/>
    <mergeCell ref="B45:B47"/>
    <mergeCell ref="A45:A47"/>
    <mergeCell ref="D45:D47"/>
    <mergeCell ref="M11:M12"/>
    <mergeCell ref="O19:O21"/>
    <mergeCell ref="B35:M35"/>
    <mergeCell ref="J11:J12"/>
    <mergeCell ref="B44:M44"/>
    <mergeCell ref="G42:G43"/>
    <mergeCell ref="K20:K21"/>
    <mergeCell ref="D20:D21"/>
    <mergeCell ref="H31:H32"/>
    <mergeCell ref="R9:R11"/>
    <mergeCell ref="M115:M116"/>
    <mergeCell ref="Q74:Q77"/>
    <mergeCell ref="R74:R77"/>
    <mergeCell ref="L90:L92"/>
    <mergeCell ref="M90:M92"/>
    <mergeCell ref="N10:N11"/>
    <mergeCell ref="O10:O11"/>
    <mergeCell ref="Q19:Q21"/>
    <mergeCell ref="R55:R56"/>
    <mergeCell ref="A14:A16"/>
    <mergeCell ref="A30:A32"/>
    <mergeCell ref="B30:B32"/>
    <mergeCell ref="B19:B21"/>
    <mergeCell ref="A19:A21"/>
    <mergeCell ref="C15:C16"/>
    <mergeCell ref="C31:C32"/>
    <mergeCell ref="A23:A26"/>
    <mergeCell ref="B23:B26"/>
    <mergeCell ref="O159:O160"/>
    <mergeCell ref="P159:P160"/>
    <mergeCell ref="P151:P158"/>
    <mergeCell ref="Q151:Q158"/>
    <mergeCell ref="R151:R158"/>
    <mergeCell ref="Q161:Q162"/>
    <mergeCell ref="O161:O162"/>
    <mergeCell ref="P161:P162"/>
    <mergeCell ref="R161:R162"/>
    <mergeCell ref="Q159:Q160"/>
    <mergeCell ref="R187:R188"/>
    <mergeCell ref="J218:J219"/>
    <mergeCell ref="M187:M188"/>
    <mergeCell ref="N187:N188"/>
    <mergeCell ref="E168:E170"/>
    <mergeCell ref="R180:R181"/>
    <mergeCell ref="M211:M212"/>
    <mergeCell ref="J171:J172"/>
    <mergeCell ref="O180:O181"/>
    <mergeCell ref="J180:J181"/>
    <mergeCell ref="O237:O238"/>
    <mergeCell ref="N180:N181"/>
    <mergeCell ref="P237:P238"/>
    <mergeCell ref="P180:P181"/>
    <mergeCell ref="Q237:Q238"/>
    <mergeCell ref="P187:P188"/>
    <mergeCell ref="Q187:Q188"/>
    <mergeCell ref="O203:O204"/>
    <mergeCell ref="P203:P204"/>
    <mergeCell ref="O187:O188"/>
    <mergeCell ref="K221:K222"/>
    <mergeCell ref="M221:M222"/>
    <mergeCell ref="I466:I468"/>
    <mergeCell ref="H451:H456"/>
    <mergeCell ref="G466:G468"/>
    <mergeCell ref="H458:H464"/>
    <mergeCell ref="I221:I222"/>
    <mergeCell ref="J221:J222"/>
    <mergeCell ref="H302:H303"/>
    <mergeCell ref="I302:I303"/>
    <mergeCell ref="R488:R489"/>
    <mergeCell ref="Q451:Q456"/>
    <mergeCell ref="M458:M464"/>
    <mergeCell ref="P451:P456"/>
    <mergeCell ref="M466:M468"/>
    <mergeCell ref="M484:M487"/>
    <mergeCell ref="M488:M489"/>
    <mergeCell ref="D522:D524"/>
    <mergeCell ref="E522:E525"/>
    <mergeCell ref="F511:F513"/>
    <mergeCell ref="G511:G513"/>
    <mergeCell ref="M522:M523"/>
    <mergeCell ref="J488:J489"/>
    <mergeCell ref="F488:F489"/>
    <mergeCell ref="G488:G489"/>
    <mergeCell ref="H488:H489"/>
    <mergeCell ref="I488:I489"/>
    <mergeCell ref="H466:H468"/>
    <mergeCell ref="J466:J468"/>
    <mergeCell ref="K484:K487"/>
    <mergeCell ref="A488:A489"/>
    <mergeCell ref="A504:A506"/>
    <mergeCell ref="B495:B497"/>
    <mergeCell ref="A495:A497"/>
    <mergeCell ref="B504:B506"/>
    <mergeCell ref="D504:D506"/>
    <mergeCell ref="E504:E506"/>
    <mergeCell ref="D495:D497"/>
    <mergeCell ref="E495:E497"/>
    <mergeCell ref="B498:M498"/>
    <mergeCell ref="M504:M506"/>
    <mergeCell ref="F63:F64"/>
    <mergeCell ref="B451:B456"/>
    <mergeCell ref="F115:F116"/>
    <mergeCell ref="B211:B212"/>
    <mergeCell ref="E451:E456"/>
    <mergeCell ref="C466:C468"/>
    <mergeCell ref="B151:B158"/>
    <mergeCell ref="F211:F212"/>
    <mergeCell ref="P81:P84"/>
    <mergeCell ref="Q63:Q64"/>
    <mergeCell ref="F91:F92"/>
    <mergeCell ref="Q180:Q181"/>
    <mergeCell ref="N81:N84"/>
    <mergeCell ref="O81:O84"/>
    <mergeCell ref="K79:K80"/>
    <mergeCell ref="I79:I80"/>
    <mergeCell ref="J159:J160"/>
    <mergeCell ref="J107:J111"/>
    <mergeCell ref="I76:I77"/>
    <mergeCell ref="R63:R64"/>
    <mergeCell ref="P74:P77"/>
    <mergeCell ref="R81:R84"/>
    <mergeCell ref="R93:R96"/>
    <mergeCell ref="P107:P111"/>
    <mergeCell ref="P93:P96"/>
    <mergeCell ref="Q93:Q96"/>
    <mergeCell ref="Q107:Q111"/>
    <mergeCell ref="R107:R111"/>
    <mergeCell ref="A451:A456"/>
    <mergeCell ref="N63:N64"/>
    <mergeCell ref="O63:O64"/>
    <mergeCell ref="B63:B64"/>
    <mergeCell ref="D63:D64"/>
    <mergeCell ref="B81:B82"/>
    <mergeCell ref="C76:C77"/>
    <mergeCell ref="C79:C80"/>
    <mergeCell ref="B79:B80"/>
    <mergeCell ref="H79:H80"/>
    <mergeCell ref="A1:R1"/>
    <mergeCell ref="A466:A468"/>
    <mergeCell ref="B42:B43"/>
    <mergeCell ref="L211:L212"/>
    <mergeCell ref="L221:L222"/>
    <mergeCell ref="L75:L77"/>
    <mergeCell ref="A79:A80"/>
    <mergeCell ref="C83:C84"/>
    <mergeCell ref="B466:B468"/>
    <mergeCell ref="K466:K468"/>
    <mergeCell ref="H83:H84"/>
    <mergeCell ref="A211:A212"/>
    <mergeCell ref="A221:A222"/>
    <mergeCell ref="A186:A188"/>
    <mergeCell ref="A262:A263"/>
    <mergeCell ref="A315:A316"/>
    <mergeCell ref="A434:A435"/>
    <mergeCell ref="B434:B435"/>
    <mergeCell ref="A287:A288"/>
    <mergeCell ref="L11:L12"/>
    <mergeCell ref="I180:I181"/>
    <mergeCell ref="D180:D181"/>
    <mergeCell ref="J129:J131"/>
    <mergeCell ref="J79:J80"/>
    <mergeCell ref="H180:H181"/>
    <mergeCell ref="K151:K156"/>
    <mergeCell ref="E159:E160"/>
    <mergeCell ref="H161:H162"/>
    <mergeCell ref="D159:D160"/>
    <mergeCell ref="H2:J2"/>
    <mergeCell ref="K2:M2"/>
    <mergeCell ref="E9:E10"/>
    <mergeCell ref="F9:F10"/>
    <mergeCell ref="I15:I16"/>
    <mergeCell ref="J15:J16"/>
    <mergeCell ref="M9:M10"/>
    <mergeCell ref="B5:M5"/>
    <mergeCell ref="B6:M6"/>
    <mergeCell ref="B7:M7"/>
    <mergeCell ref="B18:M18"/>
    <mergeCell ref="L522:L523"/>
    <mergeCell ref="E180:E181"/>
    <mergeCell ref="E466:E468"/>
    <mergeCell ref="L504:L506"/>
    <mergeCell ref="L511:L513"/>
    <mergeCell ref="J45:J47"/>
    <mergeCell ref="L79:L80"/>
    <mergeCell ref="I504:I506"/>
    <mergeCell ref="F484:F487"/>
    <mergeCell ref="G484:G487"/>
    <mergeCell ref="P2:P3"/>
    <mergeCell ref="N2:O2"/>
    <mergeCell ref="O74:O77"/>
    <mergeCell ref="H95:H96"/>
    <mergeCell ref="I95:I96"/>
    <mergeCell ref="J95:J96"/>
    <mergeCell ref="O50:O51"/>
    <mergeCell ref="J42:J43"/>
    <mergeCell ref="E511:E513"/>
    <mergeCell ref="G504:G506"/>
    <mergeCell ref="K504:K506"/>
    <mergeCell ref="J504:J506"/>
    <mergeCell ref="G522:G525"/>
    <mergeCell ref="J508:J510"/>
    <mergeCell ref="K522:K523"/>
    <mergeCell ref="H287:H288"/>
    <mergeCell ref="F522:F525"/>
    <mergeCell ref="H504:H506"/>
    <mergeCell ref="K511:K513"/>
    <mergeCell ref="K488:K489"/>
    <mergeCell ref="F180:F181"/>
    <mergeCell ref="G180:G181"/>
    <mergeCell ref="H211:H212"/>
    <mergeCell ref="F451:F456"/>
    <mergeCell ref="G451:G456"/>
    <mergeCell ref="F458:F464"/>
    <mergeCell ref="G458:G464"/>
    <mergeCell ref="G287:G288"/>
    <mergeCell ref="F287:F288"/>
    <mergeCell ref="F302:F303"/>
    <mergeCell ref="B226:M226"/>
    <mergeCell ref="B234:M234"/>
    <mergeCell ref="B262:B263"/>
    <mergeCell ref="J262:J264"/>
    <mergeCell ref="E287:E288"/>
    <mergeCell ref="D302:D303"/>
    <mergeCell ref="E302:E303"/>
    <mergeCell ref="G302:G303"/>
    <mergeCell ref="A237:A239"/>
    <mergeCell ref="B237:B239"/>
    <mergeCell ref="D237:D239"/>
    <mergeCell ref="B257:M257"/>
    <mergeCell ref="B287:B288"/>
    <mergeCell ref="D287:D288"/>
    <mergeCell ref="B302:B303"/>
    <mergeCell ref="A302:A303"/>
    <mergeCell ref="A2:B3"/>
    <mergeCell ref="D2:D3"/>
    <mergeCell ref="K9:K10"/>
    <mergeCell ref="L9:L10"/>
    <mergeCell ref="J9:J10"/>
    <mergeCell ref="C74:C75"/>
    <mergeCell ref="H74:H75"/>
    <mergeCell ref="E42:E43"/>
    <mergeCell ref="C20:C21"/>
    <mergeCell ref="E2:G2"/>
    <mergeCell ref="Q50:Q51"/>
    <mergeCell ref="R50:R51"/>
    <mergeCell ref="P63:P64"/>
    <mergeCell ref="A458:A464"/>
    <mergeCell ref="E157:E158"/>
    <mergeCell ref="E151:E156"/>
    <mergeCell ref="E211:E212"/>
    <mergeCell ref="E221:E222"/>
    <mergeCell ref="B90:B92"/>
    <mergeCell ref="A90:A92"/>
    <mergeCell ref="H50:H51"/>
    <mergeCell ref="F42:F43"/>
    <mergeCell ref="J90:J92"/>
    <mergeCell ref="F79:F80"/>
    <mergeCell ref="H42:H43"/>
    <mergeCell ref="I42:I43"/>
    <mergeCell ref="J50:J51"/>
    <mergeCell ref="G55:G56"/>
    <mergeCell ref="H55:H56"/>
    <mergeCell ref="F50:F51"/>
    <mergeCell ref="P50:P51"/>
    <mergeCell ref="L168:L170"/>
    <mergeCell ref="L151:L156"/>
    <mergeCell ref="J458:J464"/>
    <mergeCell ref="N50:N51"/>
    <mergeCell ref="G91:G92"/>
    <mergeCell ref="H90:H92"/>
    <mergeCell ref="I90:I92"/>
    <mergeCell ref="N237:N238"/>
    <mergeCell ref="G221:G222"/>
    <mergeCell ref="E63:E64"/>
    <mergeCell ref="D52:D53"/>
    <mergeCell ref="E52:E53"/>
    <mergeCell ref="F52:F53"/>
    <mergeCell ref="B57:M57"/>
    <mergeCell ref="I63:I64"/>
    <mergeCell ref="F55:F56"/>
    <mergeCell ref="H63:H64"/>
    <mergeCell ref="G59:G60"/>
    <mergeCell ref="B59:B60"/>
    <mergeCell ref="B129:B131"/>
    <mergeCell ref="F151:F156"/>
    <mergeCell ref="C161:C162"/>
    <mergeCell ref="D161:D162"/>
    <mergeCell ref="G159:G160"/>
    <mergeCell ref="H159:H160"/>
    <mergeCell ref="G133:G134"/>
    <mergeCell ref="H135:H136"/>
    <mergeCell ref="B179:M179"/>
    <mergeCell ref="F133:F134"/>
    <mergeCell ref="H168:H170"/>
    <mergeCell ref="F159:F160"/>
    <mergeCell ref="B171:B172"/>
    <mergeCell ref="M95:M96"/>
    <mergeCell ref="J81:J82"/>
    <mergeCell ref="A151:A158"/>
    <mergeCell ref="F157:F158"/>
    <mergeCell ref="I161:I162"/>
    <mergeCell ref="I159:I160"/>
    <mergeCell ref="A115:A116"/>
    <mergeCell ref="B115:B116"/>
    <mergeCell ref="E115:E116"/>
    <mergeCell ref="H133:H134"/>
    <mergeCell ref="H45:H47"/>
    <mergeCell ref="D30:D32"/>
    <mergeCell ref="B73:M73"/>
    <mergeCell ref="D59:D60"/>
    <mergeCell ref="K168:K170"/>
    <mergeCell ref="B168:B170"/>
    <mergeCell ref="K157:K158"/>
    <mergeCell ref="I168:I170"/>
    <mergeCell ref="J168:J170"/>
    <mergeCell ref="F135:F136"/>
    <mergeCell ref="M83:M84"/>
    <mergeCell ref="K211:K212"/>
    <mergeCell ref="I211:I212"/>
    <mergeCell ref="I31:I32"/>
    <mergeCell ref="J31:J32"/>
    <mergeCell ref="K31:K32"/>
    <mergeCell ref="L31:L32"/>
    <mergeCell ref="I81:I82"/>
    <mergeCell ref="I55:I56"/>
    <mergeCell ref="B49:M49"/>
    <mergeCell ref="Q81:Q84"/>
    <mergeCell ref="K83:K84"/>
    <mergeCell ref="H81:H82"/>
    <mergeCell ref="M511:M513"/>
    <mergeCell ref="H511:H513"/>
    <mergeCell ref="I511:I513"/>
    <mergeCell ref="J511:J513"/>
    <mergeCell ref="H115:H116"/>
    <mergeCell ref="I83:I84"/>
    <mergeCell ref="J83:J84"/>
    <mergeCell ref="L95:L96"/>
    <mergeCell ref="H107:H111"/>
    <mergeCell ref="I107:I111"/>
    <mergeCell ref="R19:R21"/>
    <mergeCell ref="N19:N21"/>
    <mergeCell ref="M31:M32"/>
    <mergeCell ref="H76:H77"/>
    <mergeCell ref="L83:L84"/>
    <mergeCell ref="Q90:Q92"/>
    <mergeCell ref="K90:K92"/>
    <mergeCell ref="F168:F170"/>
    <mergeCell ref="B149:M149"/>
    <mergeCell ref="I135:I136"/>
    <mergeCell ref="J135:J136"/>
    <mergeCell ref="O107:O111"/>
    <mergeCell ref="O93:O96"/>
    <mergeCell ref="K95:K96"/>
    <mergeCell ref="J97:J98"/>
    <mergeCell ref="H97:H98"/>
    <mergeCell ref="N93:N96"/>
    <mergeCell ref="B207:M207"/>
    <mergeCell ref="B218:B219"/>
    <mergeCell ref="D211:D212"/>
    <mergeCell ref="B203:B204"/>
    <mergeCell ref="P135:P136"/>
    <mergeCell ref="J161:J162"/>
    <mergeCell ref="L157:L158"/>
    <mergeCell ref="N159:N160"/>
    <mergeCell ref="B183:M183"/>
    <mergeCell ref="G157:G158"/>
    <mergeCell ref="E458:E464"/>
    <mergeCell ref="I458:I464"/>
    <mergeCell ref="L484:L487"/>
    <mergeCell ref="L488:L489"/>
    <mergeCell ref="A9:A12"/>
    <mergeCell ref="C187:C188"/>
    <mergeCell ref="D187:D188"/>
    <mergeCell ref="H187:H188"/>
    <mergeCell ref="I187:I188"/>
    <mergeCell ref="J451:J456"/>
    <mergeCell ref="K458:K464"/>
    <mergeCell ref="L466:L468"/>
    <mergeCell ref="D451:D456"/>
    <mergeCell ref="B9:B10"/>
    <mergeCell ref="H221:H222"/>
    <mergeCell ref="B235:M235"/>
    <mergeCell ref="F466:F468"/>
    <mergeCell ref="B488:B489"/>
    <mergeCell ref="I484:I487"/>
    <mergeCell ref="A484:A487"/>
    <mergeCell ref="B484:B487"/>
    <mergeCell ref="E484:E487"/>
    <mergeCell ref="J484:J487"/>
    <mergeCell ref="H484:H487"/>
    <mergeCell ref="Q488:Q489"/>
    <mergeCell ref="R451:R456"/>
    <mergeCell ref="Q466:Q468"/>
    <mergeCell ref="F495:F497"/>
    <mergeCell ref="G495:G497"/>
    <mergeCell ref="H495:H497"/>
    <mergeCell ref="J495:J497"/>
    <mergeCell ref="N495:N497"/>
    <mergeCell ref="O495:O497"/>
    <mergeCell ref="B508:B510"/>
    <mergeCell ref="D508:D510"/>
    <mergeCell ref="K508:K510"/>
    <mergeCell ref="L508:L510"/>
    <mergeCell ref="M508:M510"/>
    <mergeCell ref="F508:F510"/>
    <mergeCell ref="E508:E510"/>
    <mergeCell ref="N508:N510"/>
    <mergeCell ref="O508:O510"/>
    <mergeCell ref="P495:P497"/>
    <mergeCell ref="Q495:Q497"/>
    <mergeCell ref="R495:R497"/>
    <mergeCell ref="A218:A219"/>
    <mergeCell ref="G508:G510"/>
    <mergeCell ref="F221:F222"/>
    <mergeCell ref="E218:E219"/>
    <mergeCell ref="F218:F219"/>
    <mergeCell ref="A180:A181"/>
    <mergeCell ref="A171:A172"/>
    <mergeCell ref="B184:M184"/>
    <mergeCell ref="A508:A510"/>
    <mergeCell ref="I218:I219"/>
    <mergeCell ref="B221:B222"/>
    <mergeCell ref="G211:G212"/>
    <mergeCell ref="G218:G219"/>
    <mergeCell ref="B206:M206"/>
    <mergeCell ref="I192:I194"/>
    <mergeCell ref="H237:H239"/>
    <mergeCell ref="A133:A134"/>
    <mergeCell ref="A135:A136"/>
    <mergeCell ref="B135:B136"/>
    <mergeCell ref="D135:D136"/>
    <mergeCell ref="D192:D194"/>
    <mergeCell ref="D155:D157"/>
    <mergeCell ref="B180:B181"/>
    <mergeCell ref="B240:M240"/>
    <mergeCell ref="B208:M208"/>
    <mergeCell ref="B213:M213"/>
    <mergeCell ref="B220:M220"/>
    <mergeCell ref="I237:I239"/>
    <mergeCell ref="J237:J239"/>
    <mergeCell ref="B232:M232"/>
    <mergeCell ref="B233:M233"/>
    <mergeCell ref="J211:J212"/>
    <mergeCell ref="H218:H219"/>
    <mergeCell ref="D534:G534"/>
    <mergeCell ref="I534:K534"/>
    <mergeCell ref="L534:M534"/>
    <mergeCell ref="B198:M198"/>
    <mergeCell ref="B200:M200"/>
    <mergeCell ref="B202:M202"/>
    <mergeCell ref="B205:M205"/>
    <mergeCell ref="D203:D204"/>
    <mergeCell ref="D533:G533"/>
    <mergeCell ref="I533:M533"/>
    <mergeCell ref="R59:R60"/>
    <mergeCell ref="J59:J60"/>
    <mergeCell ref="I59:I60"/>
    <mergeCell ref="H59:H60"/>
    <mergeCell ref="Q59:Q60"/>
    <mergeCell ref="H508:H510"/>
    <mergeCell ref="I508:I510"/>
    <mergeCell ref="N59:N60"/>
    <mergeCell ref="O59:O60"/>
    <mergeCell ref="P59:P60"/>
    <mergeCell ref="A107:A111"/>
    <mergeCell ref="D107:D111"/>
    <mergeCell ref="E107:E111"/>
    <mergeCell ref="F107:F111"/>
    <mergeCell ref="G107:G111"/>
    <mergeCell ref="N107:N111"/>
    <mergeCell ref="B107:B111"/>
    <mergeCell ref="A59:A60"/>
    <mergeCell ref="E59:E60"/>
    <mergeCell ref="F59:F60"/>
    <mergeCell ref="B22:M22"/>
    <mergeCell ref="B27:M27"/>
    <mergeCell ref="B29:M29"/>
    <mergeCell ref="G50:G51"/>
    <mergeCell ref="I50:I51"/>
    <mergeCell ref="G52:G53"/>
    <mergeCell ref="I45:I47"/>
    <mergeCell ref="H20:H21"/>
    <mergeCell ref="H11:H12"/>
    <mergeCell ref="C11:C12"/>
    <mergeCell ref="I11:I12"/>
    <mergeCell ref="H15:H16"/>
    <mergeCell ref="D10:D11"/>
    <mergeCell ref="G9:G10"/>
    <mergeCell ref="H9:H10"/>
    <mergeCell ref="D14:D16"/>
    <mergeCell ref="I9:I10"/>
    <mergeCell ref="I133:I134"/>
    <mergeCell ref="J133:J134"/>
    <mergeCell ref="E133:E134"/>
    <mergeCell ref="M75:M77"/>
    <mergeCell ref="K75:K77"/>
    <mergeCell ref="B133:B134"/>
    <mergeCell ref="L115:L116"/>
    <mergeCell ref="K115:K116"/>
    <mergeCell ref="B97:B98"/>
    <mergeCell ref="I97:I98"/>
    <mergeCell ref="M168:M170"/>
    <mergeCell ref="E135:E136"/>
    <mergeCell ref="G168:G170"/>
    <mergeCell ref="E79:E80"/>
    <mergeCell ref="E91:E92"/>
    <mergeCell ref="M79:M80"/>
    <mergeCell ref="G151:G156"/>
    <mergeCell ref="G135:G136"/>
    <mergeCell ref="I129:I131"/>
    <mergeCell ref="M157:M158"/>
    <mergeCell ref="L187:L188"/>
    <mergeCell ref="E192:E194"/>
    <mergeCell ref="M192:M194"/>
    <mergeCell ref="G192:G194"/>
    <mergeCell ref="J192:J194"/>
    <mergeCell ref="K187:K188"/>
    <mergeCell ref="K192:K194"/>
    <mergeCell ref="H192:H194"/>
    <mergeCell ref="B229:M229"/>
    <mergeCell ref="B230:M230"/>
    <mergeCell ref="B231:M231"/>
    <mergeCell ref="B227:M227"/>
    <mergeCell ref="B228:M228"/>
    <mergeCell ref="B58:M58"/>
    <mergeCell ref="B71:M71"/>
    <mergeCell ref="B185:M185"/>
    <mergeCell ref="L192:L194"/>
    <mergeCell ref="F192:F194"/>
    <mergeCell ref="D23:D26"/>
    <mergeCell ref="K23:K26"/>
    <mergeCell ref="L23:L26"/>
    <mergeCell ref="M23:M26"/>
    <mergeCell ref="H203:H204"/>
    <mergeCell ref="A37:A39"/>
    <mergeCell ref="L37:L39"/>
    <mergeCell ref="M37:M39"/>
    <mergeCell ref="B36:M36"/>
    <mergeCell ref="A203:A204"/>
    <mergeCell ref="N23:N26"/>
    <mergeCell ref="O23:O26"/>
    <mergeCell ref="P23:P26"/>
    <mergeCell ref="Q23:Q26"/>
    <mergeCell ref="R23:R26"/>
    <mergeCell ref="R30:R32"/>
    <mergeCell ref="Q30:Q32"/>
    <mergeCell ref="N30:N32"/>
    <mergeCell ref="O30:O32"/>
    <mergeCell ref="N37:N39"/>
    <mergeCell ref="L203:L204"/>
    <mergeCell ref="M203:M204"/>
    <mergeCell ref="N203:N204"/>
    <mergeCell ref="B191:M191"/>
    <mergeCell ref="B195:M195"/>
    <mergeCell ref="B196:M196"/>
    <mergeCell ref="B186:B188"/>
    <mergeCell ref="B37:B39"/>
    <mergeCell ref="J187:J188"/>
    <mergeCell ref="Q37:Q39"/>
    <mergeCell ref="R37:R39"/>
    <mergeCell ref="S37:S39"/>
    <mergeCell ref="O37:O39"/>
    <mergeCell ref="P37:P39"/>
    <mergeCell ref="B190:M190"/>
    <mergeCell ref="R90:R92"/>
    <mergeCell ref="S90:S92"/>
    <mergeCell ref="D37:D39"/>
    <mergeCell ref="K37:K39"/>
    <mergeCell ref="R203:R204"/>
    <mergeCell ref="S203:S204"/>
    <mergeCell ref="B280:B282"/>
    <mergeCell ref="R280:R282"/>
    <mergeCell ref="S280:S282"/>
    <mergeCell ref="O280:O282"/>
    <mergeCell ref="P280:P282"/>
    <mergeCell ref="I203:I204"/>
    <mergeCell ref="J203:J204"/>
    <mergeCell ref="K203:K204"/>
    <mergeCell ref="A280:A282"/>
    <mergeCell ref="D280:D282"/>
    <mergeCell ref="E280:E282"/>
    <mergeCell ref="F280:F282"/>
    <mergeCell ref="G280:G282"/>
    <mergeCell ref="Q280:Q282"/>
    <mergeCell ref="H280:H282"/>
    <mergeCell ref="I280:I282"/>
    <mergeCell ref="J280:J282"/>
    <mergeCell ref="N280:N282"/>
    <mergeCell ref="P378:P383"/>
    <mergeCell ref="B378:B383"/>
    <mergeCell ref="A378:A383"/>
    <mergeCell ref="D378:D383"/>
    <mergeCell ref="E378:E383"/>
    <mergeCell ref="F378:F383"/>
    <mergeCell ref="G378:G383"/>
    <mergeCell ref="R159:R160"/>
    <mergeCell ref="S180:S181"/>
    <mergeCell ref="H434:H435"/>
    <mergeCell ref="I434:I435"/>
    <mergeCell ref="J434:J435"/>
    <mergeCell ref="Q378:Q383"/>
    <mergeCell ref="R378:R383"/>
    <mergeCell ref="S378:S383"/>
    <mergeCell ref="H378:H383"/>
    <mergeCell ref="I378:I383"/>
    <mergeCell ref="Q203:Q204"/>
    <mergeCell ref="B249:B250"/>
    <mergeCell ref="A249:A250"/>
    <mergeCell ref="R466:R468"/>
    <mergeCell ref="S466:S468"/>
    <mergeCell ref="R237:R238"/>
    <mergeCell ref="J378:J383"/>
    <mergeCell ref="N378:N383"/>
    <mergeCell ref="O378:O383"/>
    <mergeCell ref="B252:M252"/>
    <mergeCell ref="B253:M253"/>
    <mergeCell ref="B254:M254"/>
    <mergeCell ref="B255:M255"/>
    <mergeCell ref="B256:M256"/>
    <mergeCell ref="B530:M530"/>
    <mergeCell ref="B447:M447"/>
    <mergeCell ref="I451:I456"/>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N527:S530 R517:S526 N504:Q526 N498:S498 N502:S503 N499:Q501 Q496 N493:S493 N494:O496 P494:Q495 R491:S491 N490:Q492 Q484:Q487 N484:P489 Q488:S488 R475:S480 N470:Q482 P466:S466 N469:S469 O5:Q5 N5:N10 N18:S18 N17:Q17 Q23:S26 Q22 O6:S7 N19:Q19 N13:Q14 P8:Q9 N11:P12 Q12 N22:P29 O41:S44 N40:N51 N36:S36 O40:Q40 N37:Q37 Q27:Q29 N33:Q35 N30:Q30 R29:S29 O252:S257 Q265:Q269 Q271:Q388 N265:P388 O258:Q262 O8:O10 O251:Q251 R235:S235 N223:S223 O224:S224 R200:S200 R220:S220 O240:S240 R208:S208 R211:S213 N224:N245 O225:Q239 O241:Q245 N246:S250 N198:N222 O198:S198 O203:Q222 O202:S202 O199:Q201 R191:S191 Q189:Q194 N55:N60 N61:Q61 O50:Q51 O58:S58 O55:Q57 O49:S49 N52:Q54 O45:Q48 Q195:S197 Q93:Q94 N97:Q107 R149:S149 N78:Q81 N62:N74 Q62:Q63 O59:Q60 O62:P64 R102:S102 R100:S100 N441:S441 P132:P135 N159:Q161 N163:Q178 R168:S179 N132:O158 O73:S73 O65:Q72 O74:Q74 Q132:Q151 P148:P151 Q179:Q182 N179:P186 N189:P197">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Q184:Q186 R185:S185 Q183:S183 N187:Q187 N85:P94 Q85:Q90 N112:Q131 R129:S131 N251:N262 N448:Q449 N447:S447 N454 N450:N451 P450:Q451 N457:N466 O450:O468 P457:Q465">
      <formula1>-100000000000</formula1>
    </dataValidation>
  </dataValidations>
  <printOptions/>
  <pageMargins left="0.1968503937007874" right="0" top="0.5905511811023623" bottom="0.1968503937007874" header="0.15748031496062992" footer="0.15748031496062992"/>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2013-01-23T03:57:42Z</cp:lastPrinted>
  <dcterms:created xsi:type="dcterms:W3CDTF">2007-09-24T09:40:27Z</dcterms:created>
  <dcterms:modified xsi:type="dcterms:W3CDTF">2013-01-23T03:57:44Z</dcterms:modified>
  <cp:category/>
  <cp:version/>
  <cp:contentType/>
  <cp:contentStatus/>
</cp:coreProperties>
</file>