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30" windowWidth="6570" windowHeight="8220" activeTab="0"/>
  </bookViews>
  <sheets>
    <sheet name="Лист1" sheetId="1" r:id="rId1"/>
    <sheet name="Лист 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'Лист1'!$A$1:$I$399</definedName>
  </definedNames>
  <calcPr fullCalcOnLoad="1"/>
</workbook>
</file>

<file path=xl/sharedStrings.xml><?xml version="1.0" encoding="utf-8"?>
<sst xmlns="http://schemas.openxmlformats.org/spreadsheetml/2006/main" count="684" uniqueCount="266">
  <si>
    <t>Показатели</t>
  </si>
  <si>
    <t>- в действующих ценах</t>
  </si>
  <si>
    <t xml:space="preserve">млн. рублей </t>
  </si>
  <si>
    <t>- индекс промышленного производства</t>
  </si>
  <si>
    <t>в % к пред. году</t>
  </si>
  <si>
    <t>%</t>
  </si>
  <si>
    <t>млн. рублей</t>
  </si>
  <si>
    <t>тыс. тонн</t>
  </si>
  <si>
    <t>тыс.тонн</t>
  </si>
  <si>
    <t>тыс. куб. м.</t>
  </si>
  <si>
    <t>млн. условных кирпичей</t>
  </si>
  <si>
    <t>тыс. шт.</t>
  </si>
  <si>
    <t>В том числе:</t>
  </si>
  <si>
    <t>- в сопоставимых ценах</t>
  </si>
  <si>
    <t>в том числе:</t>
  </si>
  <si>
    <t>Из общего объема продукции сельского хозяйства:</t>
  </si>
  <si>
    <t>Зерно (в весе после доработки) - всего</t>
  </si>
  <si>
    <t>- сельскохозяйственные организации</t>
  </si>
  <si>
    <t>- крестьянские (фермерские) хозяйства</t>
  </si>
  <si>
    <t>Картофель - всего</t>
  </si>
  <si>
    <t>- хозяйства населения</t>
  </si>
  <si>
    <t>Овощи - всего</t>
  </si>
  <si>
    <t>Молоко - всего</t>
  </si>
  <si>
    <t>Яйцо - всего</t>
  </si>
  <si>
    <t>Площади сельскохозяйственных угодий (во всех категориях хозяйств), занятые под посевами:</t>
  </si>
  <si>
    <t>- зерновых</t>
  </si>
  <si>
    <t>- картофеля</t>
  </si>
  <si>
    <t>- овощей</t>
  </si>
  <si>
    <t>- крупный рогатый скот</t>
  </si>
  <si>
    <t>в том числе  коровы</t>
  </si>
  <si>
    <t xml:space="preserve">- свиньи </t>
  </si>
  <si>
    <t>- птица</t>
  </si>
  <si>
    <t>тыс. рублей</t>
  </si>
  <si>
    <t>млн. шт.</t>
  </si>
  <si>
    <t>тыс. га</t>
  </si>
  <si>
    <t>тыс. голов</t>
  </si>
  <si>
    <t>км</t>
  </si>
  <si>
    <t>единиц</t>
  </si>
  <si>
    <t>Объем инвестиций в основной капитал за счет всех источников финансирования:</t>
  </si>
  <si>
    <t>Финансы</t>
  </si>
  <si>
    <t>Сальдированный финансовый результат (прибыль минус убыток)</t>
  </si>
  <si>
    <t>тыс. чел.</t>
  </si>
  <si>
    <t>человек</t>
  </si>
  <si>
    <t>рублей</t>
  </si>
  <si>
    <t>Ввод в эксплуатацию жилых домов за счет всех источников финансирования</t>
  </si>
  <si>
    <t>Средняя обеспеченность населения общей площадью жилых домов (на конец года)</t>
  </si>
  <si>
    <t>кв. м  на человека</t>
  </si>
  <si>
    <t>Полная стоимость предоставляемых жилищно-коммунальных услуг</t>
  </si>
  <si>
    <t>коек на 10 тыс. жителей</t>
  </si>
  <si>
    <t>посещений в смену на 10 тыс. жителей</t>
  </si>
  <si>
    <t>чел. на 10 тыс. жителей</t>
  </si>
  <si>
    <t>мест на 10 тыс. жителей</t>
  </si>
  <si>
    <t>Удельный вес учащихся занимающихся в первую смену в дневных учреждениях общего образования (в % к общему числу обучающихся в этих учреждениях) (на начало года)</t>
  </si>
  <si>
    <t>Обеспеченность:</t>
  </si>
  <si>
    <t>Сельское хозяйство</t>
  </si>
  <si>
    <t>Cобственные средства предприятий</t>
  </si>
  <si>
    <t xml:space="preserve">Привлеченные средства </t>
  </si>
  <si>
    <t>Приложение № 1</t>
  </si>
  <si>
    <t>Потребительский рынок</t>
  </si>
  <si>
    <t>Оборот розничной торговли</t>
  </si>
  <si>
    <t>Объем платных услуг населению</t>
  </si>
  <si>
    <t>Бытовые услуги</t>
  </si>
  <si>
    <t xml:space="preserve">Транспортные услуги </t>
  </si>
  <si>
    <t>Услуги связи</t>
  </si>
  <si>
    <t>Жилищные услуги</t>
  </si>
  <si>
    <t>Коммунальные услуги</t>
  </si>
  <si>
    <t>Услуги учреждений культуры</t>
  </si>
  <si>
    <t>Туристские услуги</t>
  </si>
  <si>
    <t>Услуги физической культуры и спорта</t>
  </si>
  <si>
    <t>Медицинские услуги</t>
  </si>
  <si>
    <t>Санаторно-оздоровительные услуги</t>
  </si>
  <si>
    <t>Ветеринарные услуги</t>
  </si>
  <si>
    <t>Услуги правого характера</t>
  </si>
  <si>
    <t>Услуги в системе образования</t>
  </si>
  <si>
    <t xml:space="preserve">Прочие виды услуг </t>
  </si>
  <si>
    <t>Оборот общественного питания</t>
  </si>
  <si>
    <t xml:space="preserve">   - в действующих ценах</t>
  </si>
  <si>
    <t xml:space="preserve">   - в сопоставимых ценах</t>
  </si>
  <si>
    <t xml:space="preserve">Строительство и реконструкция автомобильных дорог общего пользования </t>
  </si>
  <si>
    <t>Из раздела С:</t>
  </si>
  <si>
    <t>Из раздела D:</t>
  </si>
  <si>
    <t>Прочие производства</t>
  </si>
  <si>
    <t>Производство прочих материалов и веществ</t>
  </si>
  <si>
    <t>Из раздела Е:</t>
  </si>
  <si>
    <t>Из раздела А:</t>
  </si>
  <si>
    <r>
      <t>СА</t>
    </r>
    <r>
      <rPr>
        <b/>
        <i/>
        <sz val="12"/>
        <color indexed="8"/>
        <rFont val="Times New Roman Cyr"/>
        <family val="1"/>
      </rPr>
      <t xml:space="preserve">     Добыча топливно-энергетических полезных ископаемых </t>
    </r>
  </si>
  <si>
    <r>
      <t>СВ</t>
    </r>
    <r>
      <rPr>
        <b/>
        <i/>
        <sz val="12"/>
        <color indexed="8"/>
        <rFont val="Times New Roman Cyr"/>
        <family val="1"/>
      </rPr>
      <t xml:space="preserve">   Добыча прочих полезных ископаемых</t>
    </r>
  </si>
  <si>
    <r>
      <t xml:space="preserve">DA </t>
    </r>
    <r>
      <rPr>
        <b/>
        <i/>
        <sz val="12"/>
        <color indexed="8"/>
        <rFont val="Times New Roman Cyr"/>
        <family val="1"/>
      </rPr>
      <t xml:space="preserve">  Производство пищевых продуктов</t>
    </r>
  </si>
  <si>
    <r>
      <t xml:space="preserve">DB  </t>
    </r>
    <r>
      <rPr>
        <b/>
        <i/>
        <sz val="12"/>
        <color indexed="8"/>
        <rFont val="Times New Roman Cyr"/>
        <family val="1"/>
      </rPr>
      <t xml:space="preserve"> Текстильное и швейное производство</t>
    </r>
  </si>
  <si>
    <r>
      <t>DC</t>
    </r>
    <r>
      <rPr>
        <b/>
        <i/>
        <sz val="12"/>
        <color indexed="8"/>
        <rFont val="Times New Roman Cyr"/>
        <family val="1"/>
      </rPr>
      <t xml:space="preserve">   Производство кожи, производство обуви</t>
    </r>
  </si>
  <si>
    <r>
      <t>DD</t>
    </r>
    <r>
      <rPr>
        <b/>
        <i/>
        <sz val="12"/>
        <color indexed="8"/>
        <rFont val="Times New Roman Cyr"/>
        <family val="1"/>
      </rPr>
      <t xml:space="preserve">   Обработка древесины и производство изделий из дерева</t>
    </r>
  </si>
  <si>
    <r>
      <t xml:space="preserve">DE </t>
    </r>
    <r>
      <rPr>
        <b/>
        <i/>
        <sz val="12"/>
        <color indexed="8"/>
        <rFont val="Times New Roman Cyr"/>
        <family val="1"/>
      </rPr>
      <t xml:space="preserve">  Целлюлозно-бумажное производство; полиграфическая деятельность</t>
    </r>
  </si>
  <si>
    <r>
      <t>DG</t>
    </r>
    <r>
      <rPr>
        <b/>
        <i/>
        <sz val="12"/>
        <color indexed="8"/>
        <rFont val="Times New Roman Cyr"/>
        <family val="1"/>
      </rPr>
      <t xml:space="preserve">   Химическое производство</t>
    </r>
  </si>
  <si>
    <r>
      <t>DH</t>
    </r>
    <r>
      <rPr>
        <b/>
        <i/>
        <sz val="12"/>
        <color indexed="8"/>
        <rFont val="Times New Roman Cyr"/>
        <family val="1"/>
      </rPr>
      <t xml:space="preserve">   Производство резиновых и пластмассовых изделий</t>
    </r>
  </si>
  <si>
    <r>
      <t>DI</t>
    </r>
    <r>
      <rPr>
        <b/>
        <i/>
        <sz val="12"/>
        <color indexed="8"/>
        <rFont val="Times New Roman Cyr"/>
        <family val="1"/>
      </rPr>
      <t xml:space="preserve">   Производство прочих неметаллических минеральных продуктов</t>
    </r>
  </si>
  <si>
    <r>
      <t>DJ</t>
    </r>
    <r>
      <rPr>
        <b/>
        <i/>
        <sz val="12"/>
        <color indexed="8"/>
        <rFont val="Times New Roman Cyr"/>
        <family val="1"/>
      </rPr>
      <t xml:space="preserve">   Производство готовых металлических изделий</t>
    </r>
  </si>
  <si>
    <r>
      <t>DK</t>
    </r>
    <r>
      <rPr>
        <b/>
        <vertAlign val="superscript"/>
        <sz val="12"/>
        <color indexed="8"/>
        <rFont val="Times New Roman Cyr"/>
        <family val="1"/>
      </rPr>
      <t>1)</t>
    </r>
    <r>
      <rPr>
        <b/>
        <i/>
        <sz val="12"/>
        <color indexed="8"/>
        <rFont val="Times New Roman Cyr"/>
        <family val="1"/>
      </rPr>
      <t xml:space="preserve"> Производство машин и оборудования (без производства оружия и боеприпасов)</t>
    </r>
  </si>
  <si>
    <r>
      <t>DL</t>
    </r>
    <r>
      <rPr>
        <b/>
        <i/>
        <sz val="12"/>
        <color indexed="8"/>
        <rFont val="Times New Roman Cyr"/>
        <family val="1"/>
      </rPr>
      <t xml:space="preserve">   Поизводство электро-, электронного и оптического оборудования </t>
    </r>
  </si>
  <si>
    <r>
      <t>DM</t>
    </r>
    <r>
      <rPr>
        <b/>
        <i/>
        <sz val="12"/>
        <color indexed="8"/>
        <rFont val="Times New Roman Cyr"/>
        <family val="1"/>
      </rPr>
      <t xml:space="preserve">   Производство транспортных средств  и оборудования </t>
    </r>
  </si>
  <si>
    <t>Продукция сельскохозяйственных организаций:</t>
  </si>
  <si>
    <t>Продукция крестьянских (фермерских) хозяйств:</t>
  </si>
  <si>
    <t xml:space="preserve">Продукция в хозяйствах населения: </t>
  </si>
  <si>
    <t>Производство основных видов сельскохозяйственной продукции:</t>
  </si>
  <si>
    <t xml:space="preserve">Поголовье скота и птицы на конец года (во всех категориях хозяйств): </t>
  </si>
  <si>
    <t>тыс.кв.м на 10 тыс.чел.</t>
  </si>
  <si>
    <t>кв.м на 10 тыс.чел.</t>
  </si>
  <si>
    <t>кв.м зеркала воды на 10 тыс.чел.</t>
  </si>
  <si>
    <r>
      <t xml:space="preserve">Инвестиции в основной капитал по источникам финансирования </t>
    </r>
    <r>
      <rPr>
        <sz val="12"/>
        <rFont val="Times New Roman CYR"/>
        <family val="1"/>
      </rPr>
      <t>(по крупным и средним предприятиям)</t>
    </r>
    <r>
      <rPr>
        <b/>
        <sz val="12"/>
        <rFont val="Times New Roman CYR"/>
        <family val="1"/>
      </rPr>
      <t>:</t>
    </r>
  </si>
  <si>
    <t>Производство промышленной продукции</t>
  </si>
  <si>
    <t>Инвестиционная и строительная деятельность</t>
  </si>
  <si>
    <t>Рынок труда и заработной платы</t>
  </si>
  <si>
    <t>Развитие малого предпринимательства</t>
  </si>
  <si>
    <t>Социальная сфера</t>
  </si>
  <si>
    <t>Жилищно - коммунальное хозяйства</t>
  </si>
  <si>
    <t>Муниципальное имущество</t>
  </si>
  <si>
    <t>Демография</t>
  </si>
  <si>
    <t>тыс.руб.</t>
  </si>
  <si>
    <t>Расходы бюджета на органы местного самоуправления</t>
  </si>
  <si>
    <t>Наличие основных фондов, находящихся в муниципальной собственности (по остаточной балансовой стоимости)</t>
  </si>
  <si>
    <t>Прибыль прибыльных организаций</t>
  </si>
  <si>
    <t xml:space="preserve"> Сельское хозяйство, охота и предоставление услуг в этих областях</t>
  </si>
  <si>
    <t xml:space="preserve"> Растениеводство</t>
  </si>
  <si>
    <t xml:space="preserve"> Животноводство</t>
  </si>
  <si>
    <r>
      <t xml:space="preserve">Из общего объема инвестиций  </t>
    </r>
    <r>
      <rPr>
        <sz val="12"/>
        <rFont val="Times New Roman"/>
        <family val="1"/>
      </rPr>
      <t>(по крупным и средним предприятиям)</t>
    </r>
    <r>
      <rPr>
        <b/>
        <sz val="12"/>
        <rFont val="Times New Roman"/>
        <family val="1"/>
      </rPr>
      <t>:</t>
    </r>
  </si>
  <si>
    <t>ед.</t>
  </si>
  <si>
    <t>Производство, передача и распределение электроэнергии, газа и пара</t>
  </si>
  <si>
    <t>Сбор, очистка и распределение  воды</t>
  </si>
  <si>
    <t>Производство нефтепродуктов</t>
  </si>
  <si>
    <t xml:space="preserve"> А   Сельское хозяйство, охота и лесное хозяйство</t>
  </si>
  <si>
    <t>В Рыболовство, рыбоводство</t>
  </si>
  <si>
    <t>С   Добыча полезных ископаемых</t>
  </si>
  <si>
    <t xml:space="preserve"> Д   Обрабатывающие  производства</t>
  </si>
  <si>
    <t>Е   Производство и распределение электроэнергии, газа и воды</t>
  </si>
  <si>
    <t xml:space="preserve"> F   Строительство</t>
  </si>
  <si>
    <t xml:space="preserve"> G   Оптовая и розничная торговля</t>
  </si>
  <si>
    <t xml:space="preserve"> I   Транспорт и связь</t>
  </si>
  <si>
    <t xml:space="preserve"> К  Операции с недвижимым имуществом, аренда и предоставление услуг</t>
  </si>
  <si>
    <t xml:space="preserve"> М  Образование</t>
  </si>
  <si>
    <t xml:space="preserve"> N Здравоохранение и предоставление социальных услуг</t>
  </si>
  <si>
    <t xml:space="preserve">Численность занятых в экономике (среднегодовая) - всего (по данным баланса трудовых ресурсов) </t>
  </si>
  <si>
    <t>Распределение среднегодовой численности занятых в экономике по формам собственности:</t>
  </si>
  <si>
    <t>государственная  форма собственности</t>
  </si>
  <si>
    <t>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</si>
  <si>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</si>
  <si>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</si>
  <si>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</si>
  <si>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</si>
  <si>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</si>
  <si>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</si>
  <si>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</si>
  <si>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отдельных граждан,включая занятых в домашнем хозяйстве производством товаров и услуг для реализации (включая личное подсобное хозяйство)</t>
  </si>
  <si>
    <t>Среднесписочная численность работников предприятий/организаций - всего</t>
  </si>
  <si>
    <t>тыс.кв.м общей площади</t>
  </si>
  <si>
    <t xml:space="preserve">   за счет средств местных бюджетов</t>
  </si>
  <si>
    <t xml:space="preserve">   индивидуальные жилые дома, построенные населением за свой счет и (или) с помощью кредитов</t>
  </si>
  <si>
    <t>тыс.кв. м</t>
  </si>
  <si>
    <t xml:space="preserve">   общая площадь ветхого аварийного жилищного фонда</t>
  </si>
  <si>
    <t>Численность официально зарегистрированных безработных (по результатам выборочного обследования)</t>
  </si>
  <si>
    <t>Уровень регистрируемой безработицы (удельный вес безработных в численности экономически активного населения)</t>
  </si>
  <si>
    <t>Фонд оплаты труда, всего</t>
  </si>
  <si>
    <t>Общая площадь муниципального жилищного фонда</t>
  </si>
  <si>
    <t>больничными койками (круглосуточный стационар)</t>
  </si>
  <si>
    <t>койками дневного пребывания (при круглосуточном стационаре)</t>
  </si>
  <si>
    <t>койками сестринского ухода</t>
  </si>
  <si>
    <t>амбулаторно-поликлиническими учреждениями</t>
  </si>
  <si>
    <t xml:space="preserve">врачами            </t>
  </si>
  <si>
    <t>средним медицинским персоналом</t>
  </si>
  <si>
    <t>домами-интернатами для престарелых и инвалидов и детей-инвалидов</t>
  </si>
  <si>
    <t>общедоступными  библиотеками</t>
  </si>
  <si>
    <t>учреждениями культурно-досугового типа</t>
  </si>
  <si>
    <t>спортивными залами</t>
  </si>
  <si>
    <t>плоскостными сооржениями</t>
  </si>
  <si>
    <t>плавательными бассейнами</t>
  </si>
  <si>
    <t>город</t>
  </si>
  <si>
    <t>село</t>
  </si>
  <si>
    <t>Численность постоянного населения (среднегодовая)</t>
  </si>
  <si>
    <t>городского</t>
  </si>
  <si>
    <t>сельского</t>
  </si>
  <si>
    <t>детей в возрасте 1-6 лет местами в дошкольных образовательных учреждениях</t>
  </si>
  <si>
    <t>Площадь капитально отремонтированных жилых домов за год</t>
  </si>
  <si>
    <t>Среднесписочная численность работников малых предприятий (без внешних совместителей)</t>
  </si>
  <si>
    <t>тыс.кв. м на человека</t>
  </si>
  <si>
    <t>Скот и птица (в живом весе) - всего</t>
  </si>
  <si>
    <t>Объем выполненных работ и услуг собственными силами крупных и средних предприятий и организаций по виду деятельности "строительство"</t>
  </si>
  <si>
    <t>Объем отгруженных товаров собственного производства, выполненных работ и услуг собственными силами (итого по разделам C,D,E)</t>
  </si>
  <si>
    <t>индекс промышленного производства</t>
  </si>
  <si>
    <t>в том числе по видам экономической деятельности</t>
  </si>
  <si>
    <t xml:space="preserve">С "Добыча полезных ископаемых" </t>
  </si>
  <si>
    <t>- индекс  производства</t>
  </si>
  <si>
    <t>- удельный вес в  объеме отгруженных товаров (C,D,E)</t>
  </si>
  <si>
    <t>- удельный вес в объеме отгруженных товаров раздела С</t>
  </si>
  <si>
    <t>- удельный вес в объеме отгруженных товаров раздела D</t>
  </si>
  <si>
    <t>- удельный вес в объеме отгруженных товаров раздела E</t>
  </si>
  <si>
    <t xml:space="preserve">Транспорт </t>
  </si>
  <si>
    <t>Численность работников органов местного самоуправления</t>
  </si>
  <si>
    <t>в том числе: муниципальных служащих</t>
  </si>
  <si>
    <t>D "Обрабатывающие производства"</t>
  </si>
  <si>
    <t>Е "Производство и распределение электроэнергии, газа и воды"</t>
  </si>
  <si>
    <t>Протяженность автомобильных дорог всего</t>
  </si>
  <si>
    <t xml:space="preserve">    в том числе:</t>
  </si>
  <si>
    <t xml:space="preserve">    общего пользования</t>
  </si>
  <si>
    <t xml:space="preserve">    ведомственные</t>
  </si>
  <si>
    <t>Из общей протяженности автомобильных дорог - дороги с твердым покрытием -всего</t>
  </si>
  <si>
    <t>Производство важнейших видов продукции в натуральном выражении</t>
  </si>
  <si>
    <t>Добыча нефти (включая газовый конденсат)</t>
  </si>
  <si>
    <t>Добыча газа горючего природного (естественного)</t>
  </si>
  <si>
    <t>млн.куб.м</t>
  </si>
  <si>
    <t xml:space="preserve">Производство бензина автомобильного </t>
  </si>
  <si>
    <t>Производство топлива дизельного</t>
  </si>
  <si>
    <t>Производство полиэтилена</t>
  </si>
  <si>
    <t xml:space="preserve">Производство древесины деловой </t>
  </si>
  <si>
    <t>Производство пиломатериала</t>
  </si>
  <si>
    <t>Производство строительного кирпича</t>
  </si>
  <si>
    <t>Производство трикотажных изделий</t>
  </si>
  <si>
    <t>Производство обуви</t>
  </si>
  <si>
    <t>тыс.пар</t>
  </si>
  <si>
    <t>Производство водки и ликеро-водочных изделий</t>
  </si>
  <si>
    <t>тыс.дкл</t>
  </si>
  <si>
    <t>Производство пива</t>
  </si>
  <si>
    <t>Органы местного самоуправления</t>
  </si>
  <si>
    <t>чел. на 100 жителей</t>
  </si>
  <si>
    <t>Естественный прирост (убыль) на 1000 человек</t>
  </si>
  <si>
    <t>чел.</t>
  </si>
  <si>
    <t>2014-факт</t>
  </si>
  <si>
    <t>2013-факт</t>
  </si>
  <si>
    <t>2015-факт</t>
  </si>
  <si>
    <t>2016- оценка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</si>
  <si>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</si>
  <si>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</si>
  <si>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в ценах соответствующих лет; млн. руб.</t>
  </si>
  <si>
    <t>Продажа на розничных рынках и ярмарках</t>
  </si>
  <si>
    <t xml:space="preserve">Оборот розничной торговли по торговым сетям </t>
  </si>
  <si>
    <t>млн. руб.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</si>
  <si>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</si>
  <si>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</si>
  <si>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</si>
  <si>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Непродовольственные товары</t>
  </si>
  <si>
    <t>Ввод в действие основных фондов в ценах соответствующих лет</t>
  </si>
  <si>
    <t>Коэффициент обновления основных фондов</t>
  </si>
  <si>
    <t>Количество средних предприятий - всего (на конец года)</t>
  </si>
  <si>
    <t>Количество малых предприятий - всего (на конец года)</t>
  </si>
  <si>
    <t>в том числе количество микропредприятий:</t>
  </si>
  <si>
    <t>Количество индивидуальных предпринимателей - всего (на конец года)</t>
  </si>
  <si>
    <t>Оборот продукции (услуг) средних предприятий</t>
  </si>
  <si>
    <t>Оборот продукции (услуг) малых предприятий</t>
  </si>
  <si>
    <t>в том числе оборот продукции (услуг) микропредприятий:</t>
  </si>
  <si>
    <t>Выручка от продажи товаров, продукции, работ, услуг индивидуальных предпринимателей</t>
  </si>
  <si>
    <t>Среднесписочная численность работников средних предприятий (без внешних совместителей)</t>
  </si>
  <si>
    <t>в том числе среднесписочная численность работников микропредприятий (без внешних совместителей):</t>
  </si>
  <si>
    <t>Численность занятых в сфере индивидуальной предпринимательской деятельности</t>
  </si>
  <si>
    <t xml:space="preserve"> чел.</t>
  </si>
  <si>
    <t>Количество квадратных метров площади, полученной семьями, улучшившими жилищные условия</t>
  </si>
  <si>
    <t>Доля стоимости жилищно-коммунальных услуг, оплачиваемая населением</t>
  </si>
  <si>
    <t>х</t>
  </si>
  <si>
    <t>Число семей, получивших жилые помещения и улучшивших жилищные условия в течение года</t>
  </si>
  <si>
    <t xml:space="preserve">в ценах соответствующих лет; % от оборота розничной торговли </t>
  </si>
  <si>
    <t>тыс.кв.м. общей площади</t>
  </si>
  <si>
    <t>прогноз</t>
  </si>
  <si>
    <t>2017-</t>
  </si>
  <si>
    <t>2018-</t>
  </si>
  <si>
    <t>2019-</t>
  </si>
  <si>
    <t xml:space="preserve">Показатели прогноза социально-экономического развития </t>
  </si>
  <si>
    <t>Колпашевского района Томской области на 2017-2019 годы</t>
  </si>
  <si>
    <t>Единица изме-рения</t>
  </si>
  <si>
    <t xml:space="preserve">Среднемесячная заработная плата одного работника в целом по муниципальному району </t>
  </si>
  <si>
    <t>Выпуск учащихся из государственных дневных полных средних общеобразовательных учреждений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</si>
</sst>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  <numFmt numFmtId="168" formatCode="0.0000"/>
    <numFmt numFmtId="169" formatCode="0.00000"/>
  </numFmts>
  <fonts count="104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i/>
      <sz val="12"/>
      <name val="Times New Roman Cyr"/>
      <family val="1"/>
    </font>
    <font>
      <sz val="9"/>
      <name val="Times New Roman Cyr"/>
      <family val="1"/>
    </font>
    <font>
      <sz val="12"/>
      <name val="Arial Cyr"/>
      <family val="0"/>
    </font>
    <font>
      <b/>
      <i/>
      <sz val="12"/>
      <name val="Times New Roman Cyr"/>
      <family val="1"/>
    </font>
    <font>
      <b/>
      <sz val="12"/>
      <name val="Arial Cyr"/>
      <family val="0"/>
    </font>
    <font>
      <b/>
      <sz val="10"/>
      <color indexed="16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5"/>
      <name val="Times New Roman Cyr"/>
      <family val="1"/>
    </font>
    <font>
      <b/>
      <i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vertAlign val="superscript"/>
      <sz val="12"/>
      <color indexed="8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7.4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7.4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 CYR"/>
      <family val="1"/>
    </font>
    <font>
      <i/>
      <sz val="16"/>
      <color indexed="8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Times New Roman"/>
      <family val="1"/>
    </font>
    <font>
      <sz val="10.5"/>
      <color indexed="8"/>
      <name val="Times New Roman CYR"/>
      <family val="1"/>
    </font>
    <font>
      <sz val="10.5"/>
      <color indexed="8"/>
      <name val="Times New Roman"/>
      <family val="1"/>
    </font>
    <font>
      <sz val="10.5"/>
      <color indexed="8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 CYR"/>
      <family val="1"/>
    </font>
    <font>
      <b/>
      <sz val="14"/>
      <color indexed="8"/>
      <name val="Times New Roman Cyr"/>
      <family val="1"/>
    </font>
    <font>
      <sz val="18"/>
      <color indexed="8"/>
      <name val="Times New Roman Cyr"/>
      <family val="1"/>
    </font>
    <font>
      <sz val="9"/>
      <color indexed="8"/>
      <name val="Times New Roman CYR"/>
      <family val="1"/>
    </font>
    <font>
      <sz val="12"/>
      <color indexed="10"/>
      <name val="Arial Cyr"/>
      <family val="0"/>
    </font>
    <font>
      <b/>
      <sz val="12"/>
      <color indexed="10"/>
      <name val="Times New Roman Cyr"/>
      <family val="1"/>
    </font>
    <font>
      <sz val="11"/>
      <color indexed="8"/>
      <name val="Times New Roman"/>
      <family val="1"/>
    </font>
    <font>
      <sz val="9.5"/>
      <color indexed="8"/>
      <name val="Times New Roman Cyr"/>
      <family val="1"/>
    </font>
    <font>
      <sz val="8"/>
      <color indexed="8"/>
      <name val="Times New Roman Cyr"/>
      <family val="1"/>
    </font>
    <font>
      <b/>
      <sz val="11.5"/>
      <color indexed="8"/>
      <name val="Times New Roman Cyr"/>
      <family val="0"/>
    </font>
    <font>
      <sz val="11.5"/>
      <color indexed="8"/>
      <name val="Times New Roman Cyr"/>
      <family val="0"/>
    </font>
    <font>
      <i/>
      <sz val="11.5"/>
      <color indexed="8"/>
      <name val="Times New Roman CYR"/>
      <family val="1"/>
    </font>
    <font>
      <i/>
      <sz val="11.5"/>
      <color indexed="8"/>
      <name val="Times New Roman"/>
      <family val="1"/>
    </font>
    <font>
      <b/>
      <sz val="10.5"/>
      <color indexed="8"/>
      <name val="Times New Roman Cyr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7.4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7.4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 CYR"/>
      <family val="1"/>
    </font>
    <font>
      <i/>
      <sz val="16"/>
      <color theme="1"/>
      <name val="Times New Roman Cyr"/>
      <family val="1"/>
    </font>
    <font>
      <sz val="10"/>
      <color theme="1"/>
      <name val="Times New Roman Cyr"/>
      <family val="1"/>
    </font>
    <font>
      <sz val="10"/>
      <color theme="1"/>
      <name val="Times New Roman"/>
      <family val="1"/>
    </font>
    <font>
      <sz val="10.5"/>
      <color theme="1"/>
      <name val="Times New Roman CYR"/>
      <family val="1"/>
    </font>
    <font>
      <sz val="10.5"/>
      <color theme="1"/>
      <name val="Times New Roman"/>
      <family val="1"/>
    </font>
    <font>
      <sz val="10.5"/>
      <color theme="1"/>
      <name val="Times New Roman Cyr"/>
      <family val="0"/>
    </font>
    <font>
      <sz val="12"/>
      <color theme="1"/>
      <name val="Times New Roman"/>
      <family val="1"/>
    </font>
    <font>
      <sz val="11"/>
      <color theme="1"/>
      <name val="Times New Roman CYR"/>
      <family val="1"/>
    </font>
    <font>
      <b/>
      <sz val="14"/>
      <color theme="1"/>
      <name val="Times New Roman Cyr"/>
      <family val="1"/>
    </font>
    <font>
      <b/>
      <sz val="12"/>
      <color theme="1"/>
      <name val="Times New Roman Cyr"/>
      <family val="1"/>
    </font>
    <font>
      <sz val="18"/>
      <color theme="1"/>
      <name val="Times New Roman Cyr"/>
      <family val="1"/>
    </font>
    <font>
      <sz val="12"/>
      <color theme="1"/>
      <name val="Times New Roman Cyr"/>
      <family val="0"/>
    </font>
    <font>
      <sz val="9"/>
      <color theme="1"/>
      <name val="Times New Roman CYR"/>
      <family val="1"/>
    </font>
    <font>
      <sz val="12"/>
      <color rgb="FFFF0000"/>
      <name val="Arial Cyr"/>
      <family val="0"/>
    </font>
    <font>
      <b/>
      <sz val="12"/>
      <color rgb="FFFF0000"/>
      <name val="Times New Roman Cyr"/>
      <family val="1"/>
    </font>
    <font>
      <sz val="11"/>
      <color theme="1"/>
      <name val="Times New Roman"/>
      <family val="1"/>
    </font>
    <font>
      <sz val="9.5"/>
      <color theme="1"/>
      <name val="Times New Roman Cyr"/>
      <family val="1"/>
    </font>
    <font>
      <sz val="8"/>
      <color theme="1"/>
      <name val="Times New Roman Cyr"/>
      <family val="1"/>
    </font>
    <font>
      <b/>
      <sz val="11.5"/>
      <color theme="1"/>
      <name val="Times New Roman Cyr"/>
      <family val="0"/>
    </font>
    <font>
      <sz val="11.5"/>
      <color theme="1"/>
      <name val="Times New Roman Cyr"/>
      <family val="0"/>
    </font>
    <font>
      <i/>
      <sz val="11.5"/>
      <color theme="1"/>
      <name val="Times New Roman CYR"/>
      <family val="1"/>
    </font>
    <font>
      <i/>
      <sz val="11.5"/>
      <color theme="1"/>
      <name val="Times New Roman"/>
      <family val="1"/>
    </font>
    <font>
      <b/>
      <sz val="10.5"/>
      <color theme="1"/>
      <name val="Times New Roman Cyr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center" indent="6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0" fillId="35" borderId="0" xfId="0" applyFill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36" borderId="10" xfId="0" applyNumberFormat="1" applyFont="1" applyFill="1" applyBorder="1" applyAlignment="1" applyProtection="1">
      <alignment horizontal="center" vertical="center" wrapText="1"/>
      <protection/>
    </xf>
    <xf numFmtId="49" fontId="12" fillId="36" borderId="11" xfId="0" applyNumberFormat="1" applyFont="1" applyFill="1" applyBorder="1" applyAlignment="1" applyProtection="1">
      <alignment horizontal="left" vertical="center" wrapText="1"/>
      <protection/>
    </xf>
    <xf numFmtId="0" fontId="12" fillId="36" borderId="10" xfId="0" applyNumberFormat="1" applyFont="1" applyFill="1" applyBorder="1" applyAlignment="1" applyProtection="1">
      <alignment horizontal="left" vertical="top"/>
      <protection/>
    </xf>
    <xf numFmtId="0" fontId="12" fillId="36" borderId="1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49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6" fillId="37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left" vertical="center" wrapText="1" indent="4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0" fontId="61" fillId="0" borderId="0" xfId="0" applyFont="1" applyAlignment="1">
      <alignment/>
    </xf>
    <xf numFmtId="0" fontId="81" fillId="0" borderId="0" xfId="0" applyNumberFormat="1" applyFont="1" applyFill="1" applyBorder="1" applyAlignment="1" applyProtection="1">
      <alignment horizontal="right" vertical="top"/>
      <protection/>
    </xf>
    <xf numFmtId="0" fontId="82" fillId="0" borderId="10" xfId="0" applyNumberFormat="1" applyFont="1" applyFill="1" applyBorder="1" applyAlignment="1" applyProtection="1">
      <alignment horizontal="center" vertical="center" wrapText="1"/>
      <protection/>
    </xf>
    <xf numFmtId="0" fontId="83" fillId="0" borderId="10" xfId="0" applyFont="1" applyBorder="1" applyAlignment="1">
      <alignment horizontal="center" wrapText="1"/>
    </xf>
    <xf numFmtId="0" fontId="80" fillId="38" borderId="10" xfId="0" applyNumberFormat="1" applyFont="1" applyFill="1" applyBorder="1" applyAlignment="1" applyProtection="1">
      <alignment vertical="top"/>
      <protection/>
    </xf>
    <xf numFmtId="166" fontId="84" fillId="0" borderId="10" xfId="0" applyNumberFormat="1" applyFont="1" applyFill="1" applyBorder="1" applyAlignment="1">
      <alignment horizontal="right" vertical="center"/>
    </xf>
    <xf numFmtId="0" fontId="83" fillId="0" borderId="10" xfId="0" applyNumberFormat="1" applyFont="1" applyFill="1" applyBorder="1" applyAlignment="1" applyProtection="1">
      <alignment horizontal="center" vertical="center" wrapText="1"/>
      <protection/>
    </xf>
    <xf numFmtId="166" fontId="84" fillId="38" borderId="10" xfId="0" applyNumberFormat="1" applyFont="1" applyFill="1" applyBorder="1" applyAlignment="1">
      <alignment horizontal="right" vertical="center"/>
    </xf>
    <xf numFmtId="166" fontId="85" fillId="0" borderId="10" xfId="0" applyNumberFormat="1" applyFont="1" applyFill="1" applyBorder="1" applyAlignment="1">
      <alignment horizontal="right" vertical="center"/>
    </xf>
    <xf numFmtId="165" fontId="85" fillId="0" borderId="10" xfId="0" applyNumberFormat="1" applyFont="1" applyFill="1" applyBorder="1" applyAlignment="1">
      <alignment horizontal="right" vertical="center"/>
    </xf>
    <xf numFmtId="0" fontId="80" fillId="0" borderId="10" xfId="0" applyNumberFormat="1" applyFont="1" applyFill="1" applyBorder="1" applyAlignment="1" applyProtection="1">
      <alignment horizontal="right" vertical="top"/>
      <protection/>
    </xf>
    <xf numFmtId="0" fontId="80" fillId="38" borderId="10" xfId="0" applyNumberFormat="1" applyFont="1" applyFill="1" applyBorder="1" applyAlignment="1" applyProtection="1">
      <alignment horizontal="right" vertical="top"/>
      <protection/>
    </xf>
    <xf numFmtId="165" fontId="86" fillId="0" borderId="10" xfId="0" applyNumberFormat="1" applyFont="1" applyFill="1" applyBorder="1" applyAlignment="1">
      <alignment horizontal="right" vertical="center"/>
    </xf>
    <xf numFmtId="165" fontId="86" fillId="38" borderId="10" xfId="0" applyNumberFormat="1" applyFont="1" applyFill="1" applyBorder="1" applyAlignment="1">
      <alignment horizontal="right" vertical="center"/>
    </xf>
    <xf numFmtId="166" fontId="86" fillId="0" borderId="10" xfId="0" applyNumberFormat="1" applyFont="1" applyFill="1" applyBorder="1" applyAlignment="1">
      <alignment horizontal="right" vertical="center"/>
    </xf>
    <xf numFmtId="0" fontId="80" fillId="0" borderId="10" xfId="0" applyNumberFormat="1" applyFont="1" applyFill="1" applyBorder="1" applyAlignment="1" applyProtection="1">
      <alignment vertical="top"/>
      <protection/>
    </xf>
    <xf numFmtId="166" fontId="80" fillId="0" borderId="10" xfId="0" applyNumberFormat="1" applyFont="1" applyFill="1" applyBorder="1" applyAlignment="1" applyProtection="1">
      <alignment vertical="top"/>
      <protection/>
    </xf>
    <xf numFmtId="166" fontId="87" fillId="0" borderId="10" xfId="0" applyNumberFormat="1" applyFont="1" applyFill="1" applyBorder="1" applyAlignment="1">
      <alignment horizontal="right" vertical="top"/>
    </xf>
    <xf numFmtId="166" fontId="88" fillId="0" borderId="10" xfId="0" applyNumberFormat="1" applyFont="1" applyFill="1" applyBorder="1" applyAlignment="1" applyProtection="1">
      <alignment horizontal="center" vertical="center"/>
      <protection/>
    </xf>
    <xf numFmtId="166" fontId="88" fillId="38" borderId="10" xfId="0" applyNumberFormat="1" applyFont="1" applyFill="1" applyBorder="1" applyAlignment="1" applyProtection="1">
      <alignment horizontal="center" vertical="center"/>
      <protection/>
    </xf>
    <xf numFmtId="49" fontId="89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/>
    </xf>
    <xf numFmtId="0" fontId="90" fillId="0" borderId="12" xfId="0" applyNumberFormat="1" applyFont="1" applyFill="1" applyBorder="1" applyAlignment="1" applyProtection="1">
      <alignment horizontal="center" vertical="center"/>
      <protection/>
    </xf>
    <xf numFmtId="0" fontId="90" fillId="0" borderId="13" xfId="0" applyNumberFormat="1" applyFont="1" applyFill="1" applyBorder="1" applyAlignment="1" applyProtection="1">
      <alignment horizontal="center" vertical="center"/>
      <protection/>
    </xf>
    <xf numFmtId="0" fontId="91" fillId="0" borderId="0" xfId="0" applyNumberFormat="1" applyFont="1" applyFill="1" applyBorder="1" applyAlignment="1" applyProtection="1">
      <alignment horizontal="right" vertical="center"/>
      <protection/>
    </xf>
    <xf numFmtId="0" fontId="80" fillId="0" borderId="0" xfId="0" applyNumberFormat="1" applyFont="1" applyFill="1" applyBorder="1" applyAlignment="1" applyProtection="1">
      <alignment horizontal="center" vertical="center" wrapText="1"/>
      <protection/>
    </xf>
    <xf numFmtId="49" fontId="82" fillId="0" borderId="10" xfId="0" applyNumberFormat="1" applyFont="1" applyFill="1" applyBorder="1" applyAlignment="1" applyProtection="1">
      <alignment horizontal="center" vertical="center" wrapText="1"/>
      <protection/>
    </xf>
    <xf numFmtId="49" fontId="89" fillId="0" borderId="0" xfId="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Fill="1" applyBorder="1" applyAlignment="1" applyProtection="1">
      <alignment horizontal="center" vertical="center" wrapText="1"/>
      <protection/>
    </xf>
    <xf numFmtId="166" fontId="80" fillId="0" borderId="10" xfId="0" applyNumberFormat="1" applyFont="1" applyFill="1" applyBorder="1" applyAlignment="1" applyProtection="1">
      <alignment horizontal="right" vertical="top"/>
      <protection/>
    </xf>
    <xf numFmtId="0" fontId="92" fillId="0" borderId="10" xfId="0" applyNumberFormat="1" applyFont="1" applyFill="1" applyBorder="1" applyAlignment="1" applyProtection="1">
      <alignment horizontal="right" vertical="top"/>
      <protection/>
    </xf>
    <xf numFmtId="167" fontId="92" fillId="0" borderId="10" xfId="0" applyNumberFormat="1" applyFont="1" applyFill="1" applyBorder="1" applyAlignment="1" applyProtection="1">
      <alignment horizontal="right" vertical="top"/>
      <protection/>
    </xf>
    <xf numFmtId="2" fontId="80" fillId="38" borderId="10" xfId="0" applyNumberFormat="1" applyFont="1" applyFill="1" applyBorder="1" applyAlignment="1" applyProtection="1">
      <alignment horizontal="right" vertical="top"/>
      <protection/>
    </xf>
    <xf numFmtId="166" fontId="80" fillId="38" borderId="10" xfId="0" applyNumberFormat="1" applyFont="1" applyFill="1" applyBorder="1" applyAlignment="1" applyProtection="1">
      <alignment horizontal="right" vertical="top"/>
      <protection/>
    </xf>
    <xf numFmtId="167" fontId="80" fillId="38" borderId="10" xfId="0" applyNumberFormat="1" applyFont="1" applyFill="1" applyBorder="1" applyAlignment="1" applyProtection="1">
      <alignment horizontal="right" vertical="top"/>
      <protection/>
    </xf>
    <xf numFmtId="0" fontId="82" fillId="0" borderId="10" xfId="0" applyNumberFormat="1" applyFont="1" applyFill="1" applyBorder="1" applyAlignment="1" applyProtection="1">
      <alignment horizontal="center" vertical="top" wrapText="1"/>
      <protection/>
    </xf>
    <xf numFmtId="0" fontId="8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165" fontId="87" fillId="0" borderId="10" xfId="0" applyNumberFormat="1" applyFont="1" applyBorder="1" applyAlignment="1">
      <alignment horizontal="right" vertical="top"/>
    </xf>
    <xf numFmtId="167" fontId="80" fillId="0" borderId="10" xfId="0" applyNumberFormat="1" applyFont="1" applyFill="1" applyBorder="1" applyAlignment="1" applyProtection="1">
      <alignment horizontal="right" vertical="top"/>
      <protection/>
    </xf>
    <xf numFmtId="164" fontId="87" fillId="0" borderId="10" xfId="0" applyNumberFormat="1" applyFont="1" applyBorder="1" applyAlignment="1">
      <alignment horizontal="right" vertical="top"/>
    </xf>
    <xf numFmtId="164" fontId="80" fillId="0" borderId="10" xfId="0" applyNumberFormat="1" applyFont="1" applyFill="1" applyBorder="1" applyAlignment="1" applyProtection="1">
      <alignment vertical="top"/>
      <protection/>
    </xf>
    <xf numFmtId="0" fontId="93" fillId="38" borderId="10" xfId="0" applyNumberFormat="1" applyFont="1" applyFill="1" applyBorder="1" applyAlignment="1" applyProtection="1">
      <alignment horizontal="right" vertical="top"/>
      <protection/>
    </xf>
    <xf numFmtId="0" fontId="80" fillId="39" borderId="10" xfId="0" applyNumberFormat="1" applyFont="1" applyFill="1" applyBorder="1" applyAlignment="1" applyProtection="1">
      <alignment horizontal="right" vertical="top"/>
      <protection/>
    </xf>
    <xf numFmtId="165" fontId="87" fillId="39" borderId="10" xfId="0" applyNumberFormat="1" applyFont="1" applyFill="1" applyBorder="1" applyAlignment="1" applyProtection="1">
      <alignment horizontal="right" vertical="top"/>
      <protection/>
    </xf>
    <xf numFmtId="165" fontId="87" fillId="38" borderId="10" xfId="0" applyNumberFormat="1" applyFont="1" applyFill="1" applyBorder="1" applyAlignment="1" applyProtection="1">
      <alignment horizontal="right" vertical="top"/>
      <protection/>
    </xf>
    <xf numFmtId="166" fontId="87" fillId="38" borderId="10" xfId="0" applyNumberFormat="1" applyFont="1" applyFill="1" applyBorder="1" applyAlignment="1" applyProtection="1">
      <alignment horizontal="right" vertical="top"/>
      <protection/>
    </xf>
    <xf numFmtId="169" fontId="80" fillId="38" borderId="10" xfId="0" applyNumberFormat="1" applyFont="1" applyFill="1" applyBorder="1" applyAlignment="1" applyProtection="1">
      <alignment horizontal="right" vertical="top"/>
      <protection/>
    </xf>
    <xf numFmtId="0" fontId="11" fillId="0" borderId="10" xfId="0" applyFont="1" applyBorder="1" applyAlignment="1">
      <alignment horizontal="left" vertical="top" wrapText="1"/>
    </xf>
    <xf numFmtId="166" fontId="94" fillId="0" borderId="10" xfId="0" applyNumberFormat="1" applyFont="1" applyFill="1" applyBorder="1" applyAlignment="1">
      <alignment horizontal="right" vertical="top"/>
    </xf>
    <xf numFmtId="0" fontId="95" fillId="0" borderId="10" xfId="0" applyNumberFormat="1" applyFont="1" applyFill="1" applyBorder="1" applyAlignment="1" applyProtection="1">
      <alignment horizontal="right" vertical="top"/>
      <protection/>
    </xf>
    <xf numFmtId="166" fontId="2" fillId="0" borderId="10" xfId="0" applyNumberFormat="1" applyFont="1" applyFill="1" applyBorder="1" applyAlignment="1" applyProtection="1">
      <alignment horizontal="right" vertical="top"/>
      <protection/>
    </xf>
    <xf numFmtId="166" fontId="2" fillId="38" borderId="10" xfId="0" applyNumberFormat="1" applyFont="1" applyFill="1" applyBorder="1" applyAlignment="1" applyProtection="1">
      <alignment horizontal="right" vertical="top"/>
      <protection/>
    </xf>
    <xf numFmtId="3" fontId="80" fillId="0" borderId="10" xfId="0" applyNumberFormat="1" applyFont="1" applyFill="1" applyBorder="1" applyAlignment="1" applyProtection="1">
      <alignment horizontal="right" vertical="top"/>
      <protection/>
    </xf>
    <xf numFmtId="3" fontId="80" fillId="38" borderId="10" xfId="0" applyNumberFormat="1" applyFont="1" applyFill="1" applyBorder="1" applyAlignment="1" applyProtection="1">
      <alignment horizontal="right" vertical="top"/>
      <protection/>
    </xf>
    <xf numFmtId="0" fontId="82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 indent="4"/>
      <protection/>
    </xf>
    <xf numFmtId="49" fontId="11" fillId="0" borderId="10" xfId="0" applyNumberFormat="1" applyFont="1" applyFill="1" applyBorder="1" applyAlignment="1" applyProtection="1">
      <alignment horizontal="left" vertical="top" wrapText="1" indent="6"/>
      <protection/>
    </xf>
    <xf numFmtId="0" fontId="11" fillId="0" borderId="10" xfId="0" applyFont="1" applyBorder="1" applyAlignment="1">
      <alignment vertical="top" wrapText="1"/>
    </xf>
    <xf numFmtId="0" fontId="83" fillId="0" borderId="10" xfId="0" applyFont="1" applyBorder="1" applyAlignment="1">
      <alignment horizontal="center" vertical="top" wrapText="1"/>
    </xf>
    <xf numFmtId="49" fontId="82" fillId="0" borderId="10" xfId="0" applyNumberFormat="1" applyFont="1" applyFill="1" applyBorder="1" applyAlignment="1" applyProtection="1">
      <alignment horizontal="center" vertical="top" wrapText="1"/>
      <protection/>
    </xf>
    <xf numFmtId="3" fontId="96" fillId="0" borderId="10" xfId="0" applyNumberFormat="1" applyFont="1" applyFill="1" applyBorder="1" applyAlignment="1" applyProtection="1">
      <alignment horizontal="right" vertical="top"/>
      <protection/>
    </xf>
    <xf numFmtId="3" fontId="96" fillId="38" borderId="10" xfId="0" applyNumberFormat="1" applyFont="1" applyFill="1" applyBorder="1" applyAlignment="1" applyProtection="1">
      <alignment horizontal="right" vertical="top"/>
      <protection/>
    </xf>
    <xf numFmtId="164" fontId="88" fillId="0" borderId="10" xfId="0" applyNumberFormat="1" applyFont="1" applyFill="1" applyBorder="1" applyAlignment="1" applyProtection="1">
      <alignment horizontal="right" vertical="top"/>
      <protection/>
    </xf>
    <xf numFmtId="164" fontId="97" fillId="0" borderId="10" xfId="0" applyNumberFormat="1" applyFont="1" applyFill="1" applyBorder="1" applyAlignment="1" applyProtection="1">
      <alignment horizontal="right" vertical="top"/>
      <protection/>
    </xf>
    <xf numFmtId="49" fontId="11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 wrapText="1" indent="2"/>
      <protection/>
    </xf>
    <xf numFmtId="166" fontId="80" fillId="0" borderId="10" xfId="0" applyNumberFormat="1" applyFont="1" applyFill="1" applyBorder="1" applyAlignment="1">
      <alignment horizontal="right" vertical="center"/>
    </xf>
    <xf numFmtId="166" fontId="80" fillId="38" borderId="10" xfId="0" applyNumberFormat="1" applyFont="1" applyFill="1" applyBorder="1" applyAlignment="1">
      <alignment horizontal="right" vertical="center"/>
    </xf>
    <xf numFmtId="164" fontId="87" fillId="0" borderId="10" xfId="0" applyNumberFormat="1" applyFont="1" applyBorder="1" applyAlignment="1">
      <alignment horizontal="right" vertical="center"/>
    </xf>
    <xf numFmtId="166" fontId="80" fillId="0" borderId="10" xfId="0" applyNumberFormat="1" applyFont="1" applyFill="1" applyBorder="1" applyAlignment="1">
      <alignment horizontal="center" vertical="center"/>
    </xf>
    <xf numFmtId="166" fontId="80" fillId="38" borderId="10" xfId="0" applyNumberFormat="1" applyFont="1" applyFill="1" applyBorder="1" applyAlignment="1">
      <alignment horizontal="center" vertical="center"/>
    </xf>
    <xf numFmtId="166" fontId="87" fillId="0" borderId="10" xfId="0" applyNumberFormat="1" applyFont="1" applyBorder="1" applyAlignment="1">
      <alignment horizontal="right" vertical="center"/>
    </xf>
    <xf numFmtId="167" fontId="80" fillId="0" borderId="10" xfId="0" applyNumberFormat="1" applyFont="1" applyFill="1" applyBorder="1" applyAlignment="1">
      <alignment horizontal="right" vertical="center"/>
    </xf>
    <xf numFmtId="167" fontId="80" fillId="38" borderId="10" xfId="0" applyNumberFormat="1" applyFont="1" applyFill="1" applyBorder="1" applyAlignment="1">
      <alignment horizontal="right" vertical="center"/>
    </xf>
    <xf numFmtId="166" fontId="80" fillId="0" borderId="10" xfId="0" applyNumberFormat="1" applyFont="1" applyFill="1" applyBorder="1" applyAlignment="1">
      <alignment vertical="center"/>
    </xf>
    <xf numFmtId="166" fontId="80" fillId="38" borderId="10" xfId="0" applyNumberFormat="1" applyFont="1" applyFill="1" applyBorder="1" applyAlignment="1">
      <alignment vertical="center"/>
    </xf>
    <xf numFmtId="167" fontId="87" fillId="0" borderId="10" xfId="0" applyNumberFormat="1" applyFont="1" applyFill="1" applyBorder="1" applyAlignment="1">
      <alignment horizontal="right" vertical="center"/>
    </xf>
    <xf numFmtId="165" fontId="80" fillId="0" borderId="10" xfId="0" applyNumberFormat="1" applyFont="1" applyFill="1" applyBorder="1" applyAlignment="1">
      <alignment horizontal="right" vertical="center"/>
    </xf>
    <xf numFmtId="165" fontId="80" fillId="38" borderId="10" xfId="0" applyNumberFormat="1" applyFont="1" applyFill="1" applyBorder="1" applyAlignment="1">
      <alignment horizontal="right" vertical="center"/>
    </xf>
    <xf numFmtId="165" fontId="87" fillId="0" borderId="10" xfId="0" applyNumberFormat="1" applyFont="1" applyFill="1" applyBorder="1" applyAlignment="1">
      <alignment horizontal="right" vertical="center"/>
    </xf>
    <xf numFmtId="166" fontId="87" fillId="0" borderId="10" xfId="0" applyNumberFormat="1" applyFont="1" applyFill="1" applyBorder="1" applyAlignment="1">
      <alignment horizontal="right" vertical="center"/>
    </xf>
    <xf numFmtId="166" fontId="87" fillId="38" borderId="10" xfId="0" applyNumberFormat="1" applyFont="1" applyFill="1" applyBorder="1" applyAlignment="1">
      <alignment horizontal="right" vertical="center"/>
    </xf>
    <xf numFmtId="0" fontId="87" fillId="38" borderId="10" xfId="0" applyNumberFormat="1" applyFont="1" applyFill="1" applyBorder="1" applyAlignment="1" applyProtection="1">
      <alignment horizontal="right" vertical="center"/>
      <protection/>
    </xf>
    <xf numFmtId="49" fontId="2" fillId="39" borderId="10" xfId="0" applyNumberFormat="1" applyFont="1" applyFill="1" applyBorder="1" applyAlignment="1" applyProtection="1">
      <alignment horizontal="left" vertical="top" wrapText="1"/>
      <protection/>
    </xf>
    <xf numFmtId="0" fontId="82" fillId="39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/>
      <protection/>
    </xf>
    <xf numFmtId="0" fontId="98" fillId="0" borderId="10" xfId="0" applyNumberFormat="1" applyFont="1" applyFill="1" applyBorder="1" applyAlignment="1" applyProtection="1">
      <alignment horizontal="center" vertical="top" wrapText="1"/>
      <protection/>
    </xf>
    <xf numFmtId="167" fontId="80" fillId="38" borderId="10" xfId="0" applyNumberFormat="1" applyFont="1" applyFill="1" applyBorder="1" applyAlignment="1" applyProtection="1">
      <alignment vertical="top"/>
      <protection/>
    </xf>
    <xf numFmtId="165" fontId="99" fillId="0" borderId="10" xfId="0" applyNumberFormat="1" applyFont="1" applyFill="1" applyBorder="1" applyAlignment="1" applyProtection="1">
      <alignment horizontal="right" vertical="top"/>
      <protection/>
    </xf>
    <xf numFmtId="165" fontId="99" fillId="38" borderId="10" xfId="0" applyNumberFormat="1" applyFont="1" applyFill="1" applyBorder="1" applyAlignment="1" applyProtection="1">
      <alignment horizontal="right" vertical="top"/>
      <protection/>
    </xf>
    <xf numFmtId="166" fontId="100" fillId="0" borderId="10" xfId="0" applyNumberFormat="1" applyFont="1" applyFill="1" applyBorder="1" applyAlignment="1">
      <alignment horizontal="right" vertical="top"/>
    </xf>
    <xf numFmtId="166" fontId="100" fillId="38" borderId="10" xfId="0" applyNumberFormat="1" applyFont="1" applyFill="1" applyBorder="1" applyAlignment="1">
      <alignment horizontal="right" vertical="top"/>
    </xf>
    <xf numFmtId="165" fontId="101" fillId="38" borderId="10" xfId="0" applyNumberFormat="1" applyFont="1" applyFill="1" applyBorder="1" applyAlignment="1">
      <alignment horizontal="right" vertical="center"/>
    </xf>
    <xf numFmtId="165" fontId="102" fillId="38" borderId="10" xfId="0" applyNumberFormat="1" applyFont="1" applyFill="1" applyBorder="1" applyAlignment="1">
      <alignment horizontal="right" vertical="center"/>
    </xf>
    <xf numFmtId="165" fontId="102" fillId="0" borderId="10" xfId="0" applyNumberFormat="1" applyFont="1" applyFill="1" applyBorder="1" applyAlignment="1">
      <alignment horizontal="right" vertical="center"/>
    </xf>
    <xf numFmtId="167" fontId="101" fillId="38" borderId="10" xfId="0" applyNumberFormat="1" applyFont="1" applyFill="1" applyBorder="1" applyAlignment="1">
      <alignment horizontal="right" vertical="center"/>
    </xf>
    <xf numFmtId="167" fontId="102" fillId="38" borderId="10" xfId="0" applyNumberFormat="1" applyFont="1" applyFill="1" applyBorder="1" applyAlignment="1">
      <alignment horizontal="right" vertical="center"/>
    </xf>
    <xf numFmtId="167" fontId="102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40" borderId="10" xfId="0" applyNumberFormat="1" applyFont="1" applyFill="1" applyBorder="1" applyAlignment="1" applyProtection="1">
      <alignment horizontal="center" vertical="center"/>
      <protection/>
    </xf>
    <xf numFmtId="49" fontId="3" fillId="40" borderId="10" xfId="0" applyNumberFormat="1" applyFont="1" applyFill="1" applyBorder="1" applyAlignment="1" applyProtection="1">
      <alignment horizontal="center" vertical="center" wrapText="1"/>
      <protection/>
    </xf>
    <xf numFmtId="49" fontId="3" fillId="40" borderId="14" xfId="0" applyNumberFormat="1" applyFont="1" applyFill="1" applyBorder="1" applyAlignment="1" applyProtection="1">
      <alignment horizontal="center" vertical="center"/>
      <protection/>
    </xf>
    <xf numFmtId="49" fontId="3" fillId="40" borderId="15" xfId="0" applyNumberFormat="1" applyFont="1" applyFill="1" applyBorder="1" applyAlignment="1" applyProtection="1">
      <alignment horizontal="center" vertical="center"/>
      <protection/>
    </xf>
    <xf numFmtId="0" fontId="90" fillId="0" borderId="12" xfId="0" applyNumberFormat="1" applyFont="1" applyFill="1" applyBorder="1" applyAlignment="1" applyProtection="1">
      <alignment horizontal="center" vertical="center" wrapText="1"/>
      <protection/>
    </xf>
    <xf numFmtId="0" fontId="90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03" fillId="0" borderId="12" xfId="0" applyNumberFormat="1" applyFont="1" applyFill="1" applyBorder="1" applyAlignment="1" applyProtection="1">
      <alignment horizontal="center" vertical="center" wrapText="1"/>
      <protection/>
    </xf>
    <xf numFmtId="0" fontId="10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40" borderId="18" xfId="0" applyNumberFormat="1" applyFont="1" applyFill="1" applyBorder="1" applyAlignment="1" applyProtection="1">
      <alignment horizontal="center" vertical="center" wrapText="1"/>
      <protection/>
    </xf>
    <xf numFmtId="49" fontId="3" fillId="40" borderId="1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6"/>
  <sheetViews>
    <sheetView tabSelected="1" view="pageBreakPreview" zoomScaleSheetLayoutView="100" zoomScalePageLayoutView="0" workbookViewId="0" topLeftCell="A1">
      <pane ySplit="7" topLeftCell="A110" activePane="bottomLeft" state="frozen"/>
      <selection pane="topLeft" activeCell="A1" sqref="A1"/>
      <selection pane="bottomLeft" activeCell="E119" sqref="E119"/>
    </sheetView>
  </sheetViews>
  <sheetFormatPr defaultColWidth="9.00390625" defaultRowHeight="12.75"/>
  <cols>
    <col min="1" max="1" width="34.00390625" style="1" customWidth="1"/>
    <col min="2" max="2" width="9.375" style="62" customWidth="1"/>
    <col min="3" max="3" width="10.625" style="36" customWidth="1"/>
    <col min="4" max="5" width="10.375" style="36" customWidth="1"/>
    <col min="6" max="6" width="10.875" style="36" customWidth="1"/>
    <col min="7" max="7" width="10.75390625" style="36" customWidth="1"/>
    <col min="8" max="9" width="10.875" style="37" customWidth="1"/>
  </cols>
  <sheetData>
    <row r="1" ht="24.75" customHeight="1">
      <c r="I1" s="61" t="s">
        <v>57</v>
      </c>
    </row>
    <row r="2" spans="5:7" ht="19.5" customHeight="1">
      <c r="E2" s="38"/>
      <c r="F2" s="38"/>
      <c r="G2" s="38"/>
    </row>
    <row r="3" spans="1:9" ht="22.5" customHeight="1">
      <c r="A3" s="158" t="s">
        <v>261</v>
      </c>
      <c r="B3" s="158"/>
      <c r="C3" s="158"/>
      <c r="D3" s="158"/>
      <c r="E3" s="158"/>
      <c r="F3" s="158"/>
      <c r="G3" s="158"/>
      <c r="H3" s="158"/>
      <c r="I3" s="158"/>
    </row>
    <row r="4" spans="1:9" ht="27" customHeight="1">
      <c r="A4" s="158" t="s">
        <v>262</v>
      </c>
      <c r="B4" s="158"/>
      <c r="C4" s="158"/>
      <c r="D4" s="158"/>
      <c r="E4" s="158"/>
      <c r="F4" s="158"/>
      <c r="G4" s="158"/>
      <c r="H4" s="158"/>
      <c r="I4" s="158"/>
    </row>
    <row r="5" ht="19.5" customHeight="1" thickBot="1"/>
    <row r="6" spans="1:9" s="2" customFormat="1" ht="20.25" customHeight="1">
      <c r="A6" s="168" t="s">
        <v>0</v>
      </c>
      <c r="B6" s="170" t="s">
        <v>263</v>
      </c>
      <c r="C6" s="166" t="s">
        <v>224</v>
      </c>
      <c r="D6" s="166" t="s">
        <v>223</v>
      </c>
      <c r="E6" s="166" t="s">
        <v>225</v>
      </c>
      <c r="F6" s="166" t="s">
        <v>226</v>
      </c>
      <c r="G6" s="59" t="s">
        <v>258</v>
      </c>
      <c r="H6" s="59" t="s">
        <v>259</v>
      </c>
      <c r="I6" s="59" t="s">
        <v>260</v>
      </c>
    </row>
    <row r="7" spans="1:9" s="2" customFormat="1" ht="21" customHeight="1" thickBot="1">
      <c r="A7" s="169"/>
      <c r="B7" s="171"/>
      <c r="C7" s="167"/>
      <c r="D7" s="167"/>
      <c r="E7" s="167"/>
      <c r="F7" s="167"/>
      <c r="G7" s="60" t="s">
        <v>257</v>
      </c>
      <c r="H7" s="60" t="s">
        <v>257</v>
      </c>
      <c r="I7" s="60" t="s">
        <v>257</v>
      </c>
    </row>
    <row r="8" spans="1:9" s="22" customFormat="1" ht="21" customHeight="1">
      <c r="A8" s="164" t="s">
        <v>108</v>
      </c>
      <c r="B8" s="165"/>
      <c r="C8" s="165"/>
      <c r="D8" s="165"/>
      <c r="E8" s="165"/>
      <c r="F8" s="165"/>
      <c r="G8" s="165"/>
      <c r="H8" s="165"/>
      <c r="I8" s="165"/>
    </row>
    <row r="9" spans="1:9" s="11" customFormat="1" ht="82.5" customHeight="1">
      <c r="A9" s="93" t="s">
        <v>184</v>
      </c>
      <c r="B9" s="72" t="s">
        <v>2</v>
      </c>
      <c r="C9" s="66">
        <f>C13+C26+C91</f>
        <v>1265.8000000000002</v>
      </c>
      <c r="D9" s="66">
        <f aca="true" t="shared" si="0" ref="D9:I9">D13+D26+D91</f>
        <v>1291.9</v>
      </c>
      <c r="E9" s="66">
        <f t="shared" si="0"/>
        <v>1372.1999999999998</v>
      </c>
      <c r="F9" s="66">
        <f t="shared" si="0"/>
        <v>1495</v>
      </c>
      <c r="G9" s="66">
        <f t="shared" si="0"/>
        <v>1550.9</v>
      </c>
      <c r="H9" s="66">
        <f t="shared" si="0"/>
        <v>1612</v>
      </c>
      <c r="I9" s="66">
        <f t="shared" si="0"/>
        <v>1672.3000000000002</v>
      </c>
    </row>
    <row r="10" spans="1:9" s="11" customFormat="1" ht="31.5" customHeight="1">
      <c r="A10" s="94" t="s">
        <v>185</v>
      </c>
      <c r="B10" s="72" t="s">
        <v>4</v>
      </c>
      <c r="C10" s="66">
        <v>110.7</v>
      </c>
      <c r="D10" s="66">
        <f>D9/1.071*100/C9</f>
        <v>95.29592634441462</v>
      </c>
      <c r="E10" s="54">
        <f>E9/1.138*100/D9</f>
        <v>93.33537026907275</v>
      </c>
      <c r="F10" s="66">
        <f>F9/1.025*100/E9</f>
        <v>106.29183685802757</v>
      </c>
      <c r="G10" s="66">
        <f>G9/1.033*100/F9</f>
        <v>100.42510206658531</v>
      </c>
      <c r="H10" s="66">
        <f>H9/1.038*100/G9</f>
        <v>100.13453559378969</v>
      </c>
      <c r="I10" s="66">
        <f>I9/1.021*100/H9</f>
        <v>101.60694886295975</v>
      </c>
    </row>
    <row r="11" spans="1:9" s="11" customFormat="1" ht="21" customHeight="1">
      <c r="A11" s="149" t="s">
        <v>186</v>
      </c>
      <c r="B11" s="149"/>
      <c r="C11" s="149"/>
      <c r="D11" s="149"/>
      <c r="E11" s="149"/>
      <c r="F11" s="149"/>
      <c r="G11" s="149"/>
      <c r="H11" s="149"/>
      <c r="I11" s="149"/>
    </row>
    <row r="12" spans="1:9" ht="19.5" customHeight="1">
      <c r="A12" s="151" t="s">
        <v>187</v>
      </c>
      <c r="B12" s="151"/>
      <c r="C12" s="151"/>
      <c r="D12" s="151"/>
      <c r="E12" s="151"/>
      <c r="F12" s="151"/>
      <c r="G12" s="151"/>
      <c r="H12" s="151"/>
      <c r="I12" s="151"/>
    </row>
    <row r="13" spans="1:9" ht="31.5" customHeight="1">
      <c r="A13" s="16" t="s">
        <v>1</v>
      </c>
      <c r="B13" s="39" t="s">
        <v>2</v>
      </c>
      <c r="C13" s="66">
        <f>C18+C22</f>
        <v>140.3</v>
      </c>
      <c r="D13" s="66">
        <f aca="true" t="shared" si="1" ref="D13:I13">D18+D21</f>
        <v>17.4</v>
      </c>
      <c r="E13" s="66">
        <f t="shared" si="1"/>
        <v>1</v>
      </c>
      <c r="F13" s="66">
        <f t="shared" si="1"/>
        <v>0</v>
      </c>
      <c r="G13" s="66">
        <f t="shared" si="1"/>
        <v>0</v>
      </c>
      <c r="H13" s="66">
        <f t="shared" si="1"/>
        <v>0</v>
      </c>
      <c r="I13" s="66">
        <f t="shared" si="1"/>
        <v>0</v>
      </c>
    </row>
    <row r="14" spans="1:9" ht="31.5" customHeight="1">
      <c r="A14" s="16" t="s">
        <v>188</v>
      </c>
      <c r="B14" s="39" t="s">
        <v>4</v>
      </c>
      <c r="C14" s="66">
        <v>0</v>
      </c>
      <c r="D14" s="66">
        <f>D13/1.06*100/C13</f>
        <v>11.699995965518632</v>
      </c>
      <c r="E14" s="66">
        <f>E13/1.09*100/D13</f>
        <v>5.272593061267532</v>
      </c>
      <c r="F14" s="66">
        <v>0</v>
      </c>
      <c r="G14" s="66">
        <v>0</v>
      </c>
      <c r="H14" s="66">
        <v>0</v>
      </c>
      <c r="I14" s="66">
        <v>0</v>
      </c>
    </row>
    <row r="15" spans="1:9" s="6" customFormat="1" ht="31.5" customHeight="1">
      <c r="A15" s="16" t="s">
        <v>189</v>
      </c>
      <c r="B15" s="39" t="s">
        <v>5</v>
      </c>
      <c r="C15" s="66">
        <f>C13/C9*100</f>
        <v>11.083899510191182</v>
      </c>
      <c r="D15" s="66">
        <f aca="true" t="shared" si="2" ref="D15:I15">D13/D9*100</f>
        <v>1.346853471630931</v>
      </c>
      <c r="E15" s="66">
        <f t="shared" si="2"/>
        <v>0.07287567409998544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</row>
    <row r="16" spans="1:9" s="13" customFormat="1" ht="15.75">
      <c r="A16" s="95" t="s">
        <v>79</v>
      </c>
      <c r="B16" s="39"/>
      <c r="C16" s="66"/>
      <c r="D16" s="66"/>
      <c r="E16" s="66"/>
      <c r="F16" s="66"/>
      <c r="G16" s="66"/>
      <c r="H16" s="66"/>
      <c r="I16" s="66"/>
    </row>
    <row r="17" spans="1:9" s="13" customFormat="1" ht="19.5" customHeight="1">
      <c r="A17" s="155" t="s">
        <v>85</v>
      </c>
      <c r="B17" s="155"/>
      <c r="C17" s="155"/>
      <c r="D17" s="155"/>
      <c r="E17" s="155"/>
      <c r="F17" s="155"/>
      <c r="G17" s="155"/>
      <c r="H17" s="155"/>
      <c r="I17" s="155"/>
    </row>
    <row r="18" spans="1:9" ht="31.5" customHeight="1">
      <c r="A18" s="96" t="s">
        <v>1</v>
      </c>
      <c r="B18" s="39" t="s">
        <v>2</v>
      </c>
      <c r="C18" s="66">
        <v>140.3</v>
      </c>
      <c r="D18" s="66">
        <v>17.4</v>
      </c>
      <c r="E18" s="66">
        <v>1</v>
      </c>
      <c r="F18" s="66">
        <v>0</v>
      </c>
      <c r="G18" s="66">
        <v>0</v>
      </c>
      <c r="H18" s="66">
        <v>0</v>
      </c>
      <c r="I18" s="66">
        <v>0</v>
      </c>
    </row>
    <row r="19" spans="1:9" ht="31.5" customHeight="1">
      <c r="A19" s="16" t="s">
        <v>188</v>
      </c>
      <c r="B19" s="39" t="s">
        <v>4</v>
      </c>
      <c r="C19" s="66">
        <v>0</v>
      </c>
      <c r="D19" s="66">
        <f>D18/1.06*100/C18</f>
        <v>11.699995965518632</v>
      </c>
      <c r="E19" s="66">
        <f>E18/1.09*100/D18</f>
        <v>5.272593061267532</v>
      </c>
      <c r="F19" s="66">
        <v>0</v>
      </c>
      <c r="G19" s="66">
        <v>0</v>
      </c>
      <c r="H19" s="66">
        <v>0</v>
      </c>
      <c r="I19" s="66">
        <v>0</v>
      </c>
    </row>
    <row r="20" spans="1:9" s="6" customFormat="1" ht="31.5" customHeight="1">
      <c r="A20" s="96" t="s">
        <v>190</v>
      </c>
      <c r="B20" s="39" t="s">
        <v>5</v>
      </c>
      <c r="C20" s="66">
        <f>C18/C13*100</f>
        <v>100</v>
      </c>
      <c r="D20" s="66">
        <f>D18/D13*100</f>
        <v>100</v>
      </c>
      <c r="E20" s="66">
        <f>E18/E13*100</f>
        <v>100</v>
      </c>
      <c r="F20" s="66">
        <v>0</v>
      </c>
      <c r="G20" s="66">
        <v>0</v>
      </c>
      <c r="H20" s="66">
        <v>0</v>
      </c>
      <c r="I20" s="66">
        <v>0</v>
      </c>
    </row>
    <row r="21" spans="1:9" s="13" customFormat="1" ht="19.5" customHeight="1">
      <c r="A21" s="155" t="s">
        <v>86</v>
      </c>
      <c r="B21" s="155"/>
      <c r="C21" s="155"/>
      <c r="D21" s="155"/>
      <c r="E21" s="155"/>
      <c r="F21" s="155"/>
      <c r="G21" s="155"/>
      <c r="H21" s="155"/>
      <c r="I21" s="155"/>
    </row>
    <row r="22" spans="1:9" ht="31.5" customHeight="1">
      <c r="A22" s="16" t="s">
        <v>1</v>
      </c>
      <c r="B22" s="39" t="s">
        <v>2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</row>
    <row r="23" spans="1:9" ht="31.5" customHeight="1">
      <c r="A23" s="16" t="s">
        <v>188</v>
      </c>
      <c r="B23" s="39" t="s">
        <v>4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</row>
    <row r="24" spans="1:9" s="6" customFormat="1" ht="31.5" customHeight="1">
      <c r="A24" s="96" t="s">
        <v>190</v>
      </c>
      <c r="B24" s="39" t="s">
        <v>5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</row>
    <row r="25" spans="1:9" s="6" customFormat="1" ht="19.5" customHeight="1">
      <c r="A25" s="151" t="s">
        <v>196</v>
      </c>
      <c r="B25" s="151"/>
      <c r="C25" s="151"/>
      <c r="D25" s="151"/>
      <c r="E25" s="151"/>
      <c r="F25" s="151"/>
      <c r="G25" s="151"/>
      <c r="H25" s="151"/>
      <c r="I25" s="151"/>
    </row>
    <row r="26" spans="1:9" ht="31.5" customHeight="1">
      <c r="A26" s="16" t="s">
        <v>1</v>
      </c>
      <c r="B26" s="39" t="s">
        <v>2</v>
      </c>
      <c r="C26" s="66">
        <f aca="true" t="shared" si="3" ref="C26:I26">C31+C35+C39+C43+C47+C51+C55+C59+C63+C67+C71+C75+C79+C83+C87</f>
        <v>596.1</v>
      </c>
      <c r="D26" s="66">
        <f t="shared" si="3"/>
        <v>665.4000000000001</v>
      </c>
      <c r="E26" s="66">
        <f t="shared" si="3"/>
        <v>751.3</v>
      </c>
      <c r="F26" s="66">
        <f t="shared" si="3"/>
        <v>844.3</v>
      </c>
      <c r="G26" s="66">
        <f t="shared" si="3"/>
        <v>879.6</v>
      </c>
      <c r="H26" s="66">
        <f t="shared" si="3"/>
        <v>916.9</v>
      </c>
      <c r="I26" s="66">
        <f t="shared" si="3"/>
        <v>955.6</v>
      </c>
    </row>
    <row r="27" spans="1:9" ht="31.5" customHeight="1">
      <c r="A27" s="16" t="s">
        <v>188</v>
      </c>
      <c r="B27" s="39" t="s">
        <v>4</v>
      </c>
      <c r="C27" s="66">
        <v>84.3</v>
      </c>
      <c r="D27" s="66">
        <f>D26/1.083*100/C26</f>
        <v>103.07069822730482</v>
      </c>
      <c r="E27" s="66">
        <f>E26/1.166*100/D26</f>
        <v>96.83492976277567</v>
      </c>
      <c r="F27" s="66">
        <f>F26/1.056*100/E26</f>
        <v>106.41907562245645</v>
      </c>
      <c r="G27" s="66">
        <f>G26/1.034*100/F26</f>
        <v>100.75529818688574</v>
      </c>
      <c r="H27" s="66">
        <f>H26/1.044*100/G26</f>
        <v>99.84728342210583</v>
      </c>
      <c r="I27" s="66">
        <f>I26/1.021*100/H26</f>
        <v>102.07712420241566</v>
      </c>
    </row>
    <row r="28" spans="1:9" ht="31.5" customHeight="1">
      <c r="A28" s="16" t="s">
        <v>189</v>
      </c>
      <c r="B28" s="39" t="s">
        <v>5</v>
      </c>
      <c r="C28" s="66">
        <f>C26/C9*100</f>
        <v>47.09274766945805</v>
      </c>
      <c r="D28" s="66">
        <f aca="true" t="shared" si="4" ref="D28:I28">D26/D9*100</f>
        <v>51.5055344840932</v>
      </c>
      <c r="E28" s="66">
        <f t="shared" si="4"/>
        <v>54.751493951319055</v>
      </c>
      <c r="F28" s="66">
        <f t="shared" si="4"/>
        <v>56.47491638795986</v>
      </c>
      <c r="G28" s="66">
        <f t="shared" si="4"/>
        <v>56.715455541943385</v>
      </c>
      <c r="H28" s="66">
        <f t="shared" si="4"/>
        <v>56.87965260545905</v>
      </c>
      <c r="I28" s="66">
        <f t="shared" si="4"/>
        <v>57.14285714285714</v>
      </c>
    </row>
    <row r="29" spans="1:9" s="13" customFormat="1" ht="19.5" customHeight="1">
      <c r="A29" s="95" t="s">
        <v>80</v>
      </c>
      <c r="B29" s="39"/>
      <c r="C29" s="66"/>
      <c r="D29" s="66"/>
      <c r="E29" s="66"/>
      <c r="F29" s="66"/>
      <c r="G29" s="66"/>
      <c r="H29" s="66"/>
      <c r="I29" s="66"/>
    </row>
    <row r="30" spans="1:9" s="13" customFormat="1" ht="19.5" customHeight="1">
      <c r="A30" s="155" t="s">
        <v>87</v>
      </c>
      <c r="B30" s="155"/>
      <c r="C30" s="155"/>
      <c r="D30" s="155"/>
      <c r="E30" s="155"/>
      <c r="F30" s="155"/>
      <c r="G30" s="155"/>
      <c r="H30" s="155"/>
      <c r="I30" s="155"/>
    </row>
    <row r="31" spans="1:9" ht="31.5" customHeight="1">
      <c r="A31" s="96" t="s">
        <v>1</v>
      </c>
      <c r="B31" s="39" t="s">
        <v>2</v>
      </c>
      <c r="C31" s="66">
        <v>151.6</v>
      </c>
      <c r="D31" s="66">
        <v>161.3</v>
      </c>
      <c r="E31" s="66">
        <v>178.4</v>
      </c>
      <c r="F31" s="66">
        <v>189.1</v>
      </c>
      <c r="G31" s="66">
        <v>194.7</v>
      </c>
      <c r="H31" s="66">
        <v>200.6</v>
      </c>
      <c r="I31" s="66">
        <v>206.6</v>
      </c>
    </row>
    <row r="32" spans="1:9" ht="31.5" customHeight="1">
      <c r="A32" s="16" t="s">
        <v>188</v>
      </c>
      <c r="B32" s="39" t="s">
        <v>4</v>
      </c>
      <c r="C32" s="66">
        <v>90.5</v>
      </c>
      <c r="D32" s="66">
        <f>D31/1.11*100/C31</f>
        <v>95.8544296275167</v>
      </c>
      <c r="E32" s="66">
        <f>E31/1.193*100/D31</f>
        <v>92.70860345194039</v>
      </c>
      <c r="F32" s="66">
        <f>F31/1.064*100/E31</f>
        <v>99.62195286422333</v>
      </c>
      <c r="G32" s="66">
        <f>G31/1.056*100/F31</f>
        <v>97.50132205182442</v>
      </c>
      <c r="H32" s="66">
        <f>H31/1.049*100/G31</f>
        <v>98.21763873241471</v>
      </c>
      <c r="I32" s="66">
        <f>I31/1.044*100/H31</f>
        <v>98.65040892647727</v>
      </c>
    </row>
    <row r="33" spans="1:9" s="6" customFormat="1" ht="31.5" customHeight="1">
      <c r="A33" s="96" t="s">
        <v>191</v>
      </c>
      <c r="B33" s="39" t="s">
        <v>5</v>
      </c>
      <c r="C33" s="66">
        <f>C31/C26*100</f>
        <v>25.43197450092266</v>
      </c>
      <c r="D33" s="66">
        <f aca="true" t="shared" si="5" ref="D33:I33">D31/D26*100</f>
        <v>24.241058010219415</v>
      </c>
      <c r="E33" s="66">
        <f t="shared" si="5"/>
        <v>23.7455077865034</v>
      </c>
      <c r="F33" s="66">
        <f t="shared" si="5"/>
        <v>22.39725216155395</v>
      </c>
      <c r="G33" s="66">
        <f t="shared" si="5"/>
        <v>22.13506139154161</v>
      </c>
      <c r="H33" s="66">
        <f t="shared" si="5"/>
        <v>21.878067401025195</v>
      </c>
      <c r="I33" s="66">
        <f t="shared" si="5"/>
        <v>21.619924654667226</v>
      </c>
    </row>
    <row r="34" spans="1:9" s="13" customFormat="1" ht="19.5" customHeight="1">
      <c r="A34" s="155" t="s">
        <v>88</v>
      </c>
      <c r="B34" s="155"/>
      <c r="C34" s="155"/>
      <c r="D34" s="155"/>
      <c r="E34" s="155"/>
      <c r="F34" s="155"/>
      <c r="G34" s="155"/>
      <c r="H34" s="155"/>
      <c r="I34" s="155"/>
    </row>
    <row r="35" spans="1:9" ht="31.5" customHeight="1">
      <c r="A35" s="96" t="s">
        <v>1</v>
      </c>
      <c r="B35" s="39" t="s">
        <v>2</v>
      </c>
      <c r="C35" s="66">
        <v>1.1</v>
      </c>
      <c r="D35" s="66">
        <v>0.8</v>
      </c>
      <c r="E35" s="66">
        <v>0.6</v>
      </c>
      <c r="F35" s="66">
        <v>0.6</v>
      </c>
      <c r="G35" s="66">
        <v>0.6</v>
      </c>
      <c r="H35" s="66">
        <v>0.7</v>
      </c>
      <c r="I35" s="66">
        <v>0.7</v>
      </c>
    </row>
    <row r="36" spans="1:9" ht="31.5" customHeight="1">
      <c r="A36" s="16" t="s">
        <v>188</v>
      </c>
      <c r="B36" s="39" t="s">
        <v>4</v>
      </c>
      <c r="C36" s="66">
        <v>104.9</v>
      </c>
      <c r="D36" s="66">
        <f>D35/1.061*100/C35</f>
        <v>68.54596864021934</v>
      </c>
      <c r="E36" s="66">
        <f>E35/1.202*100/D35</f>
        <v>62.39600665557404</v>
      </c>
      <c r="F36" s="66">
        <f>F35/1.1*100/E35</f>
        <v>90.9090909090909</v>
      </c>
      <c r="G36" s="66">
        <f>G35/1.04*100/F35</f>
        <v>96.15384615384615</v>
      </c>
      <c r="H36" s="66">
        <f>H35/1.042*100/G35</f>
        <v>111.96417146513113</v>
      </c>
      <c r="I36" s="66">
        <f>I35/1.039*100/H35</f>
        <v>96.24639076034649</v>
      </c>
    </row>
    <row r="37" spans="1:9" s="6" customFormat="1" ht="31.5" customHeight="1">
      <c r="A37" s="96" t="s">
        <v>191</v>
      </c>
      <c r="B37" s="39" t="s">
        <v>5</v>
      </c>
      <c r="C37" s="66">
        <f>C35/C26*100</f>
        <v>0.18453279651065257</v>
      </c>
      <c r="D37" s="66">
        <f aca="true" t="shared" si="6" ref="D37:I37">D35/D26*100</f>
        <v>0.12022843402464682</v>
      </c>
      <c r="E37" s="66">
        <f t="shared" si="6"/>
        <v>0.07986157327299348</v>
      </c>
      <c r="F37" s="66">
        <f t="shared" si="6"/>
        <v>0.07106478739784437</v>
      </c>
      <c r="G37" s="66">
        <f t="shared" si="6"/>
        <v>0.06821282401091405</v>
      </c>
      <c r="H37" s="66">
        <f t="shared" si="6"/>
        <v>0.07634420329370706</v>
      </c>
      <c r="I37" s="66">
        <f t="shared" si="6"/>
        <v>0.07325240686479698</v>
      </c>
    </row>
    <row r="38" spans="1:9" s="13" customFormat="1" ht="19.5" customHeight="1">
      <c r="A38" s="155" t="s">
        <v>89</v>
      </c>
      <c r="B38" s="155"/>
      <c r="C38" s="155"/>
      <c r="D38" s="155"/>
      <c r="E38" s="155"/>
      <c r="F38" s="155"/>
      <c r="G38" s="155"/>
      <c r="H38" s="155"/>
      <c r="I38" s="155"/>
    </row>
    <row r="39" spans="1:9" ht="31.5" customHeight="1">
      <c r="A39" s="96" t="s">
        <v>1</v>
      </c>
      <c r="B39" s="39" t="s">
        <v>2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</row>
    <row r="40" spans="1:9" ht="31.5" customHeight="1">
      <c r="A40" s="16" t="s">
        <v>188</v>
      </c>
      <c r="B40" s="39" t="s">
        <v>4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</row>
    <row r="41" spans="1:9" s="6" customFormat="1" ht="31.5" customHeight="1">
      <c r="A41" s="96" t="s">
        <v>191</v>
      </c>
      <c r="B41" s="39" t="s">
        <v>5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</row>
    <row r="42" spans="1:9" s="13" customFormat="1" ht="19.5" customHeight="1">
      <c r="A42" s="155" t="s">
        <v>90</v>
      </c>
      <c r="B42" s="155"/>
      <c r="C42" s="155"/>
      <c r="D42" s="155"/>
      <c r="E42" s="155"/>
      <c r="F42" s="155"/>
      <c r="G42" s="155"/>
      <c r="H42" s="155"/>
      <c r="I42" s="155"/>
    </row>
    <row r="43" spans="1:9" ht="31.5" customHeight="1">
      <c r="A43" s="16" t="s">
        <v>1</v>
      </c>
      <c r="B43" s="39" t="s">
        <v>2</v>
      </c>
      <c r="C43" s="66">
        <v>42.6</v>
      </c>
      <c r="D43" s="66">
        <v>46.8</v>
      </c>
      <c r="E43" s="66">
        <v>42.2</v>
      </c>
      <c r="F43" s="66">
        <v>46.1</v>
      </c>
      <c r="G43" s="66">
        <v>46.2</v>
      </c>
      <c r="H43" s="66">
        <v>46.4</v>
      </c>
      <c r="I43" s="66">
        <v>46.5</v>
      </c>
    </row>
    <row r="44" spans="1:9" ht="31.5" customHeight="1">
      <c r="A44" s="16" t="s">
        <v>188</v>
      </c>
      <c r="B44" s="39" t="s">
        <v>4</v>
      </c>
      <c r="C44" s="66">
        <v>126.9</v>
      </c>
      <c r="D44" s="66">
        <f>D43/1.186*100/C43</f>
        <v>92.6299788613638</v>
      </c>
      <c r="E44" s="66">
        <f>E43/1.166*100/D43</f>
        <v>77.33356789960564</v>
      </c>
      <c r="F44" s="66">
        <f>F43/1.037*100/E43</f>
        <v>105.34397894034468</v>
      </c>
      <c r="G44" s="66">
        <f>G43/1.031*100/F43</f>
        <v>97.20360789495278</v>
      </c>
      <c r="H44" s="66">
        <f>H43/1.038*100/G43</f>
        <v>96.75616612032796</v>
      </c>
      <c r="I44" s="66">
        <f>I43/1.026*100/H43</f>
        <v>97.6759427303892</v>
      </c>
    </row>
    <row r="45" spans="1:9" s="6" customFormat="1" ht="31.5" customHeight="1">
      <c r="A45" s="96" t="s">
        <v>191</v>
      </c>
      <c r="B45" s="39" t="s">
        <v>5</v>
      </c>
      <c r="C45" s="66">
        <f>C43/C26*100</f>
        <v>7.146451937594363</v>
      </c>
      <c r="D45" s="66">
        <f aca="true" t="shared" si="7" ref="D45:I45">D43/D26*100</f>
        <v>7.0333633904418384</v>
      </c>
      <c r="E45" s="66">
        <f t="shared" si="7"/>
        <v>5.616930653533876</v>
      </c>
      <c r="F45" s="66">
        <f t="shared" si="7"/>
        <v>5.460144498401043</v>
      </c>
      <c r="G45" s="66">
        <f t="shared" si="7"/>
        <v>5.252387448840382</v>
      </c>
      <c r="H45" s="66">
        <f t="shared" si="7"/>
        <v>5.060530046897154</v>
      </c>
      <c r="I45" s="66">
        <f t="shared" si="7"/>
        <v>4.866052741732942</v>
      </c>
    </row>
    <row r="46" spans="1:9" s="13" customFormat="1" ht="19.5" customHeight="1">
      <c r="A46" s="155" t="s">
        <v>91</v>
      </c>
      <c r="B46" s="155"/>
      <c r="C46" s="155"/>
      <c r="D46" s="155"/>
      <c r="E46" s="155"/>
      <c r="F46" s="155"/>
      <c r="G46" s="155"/>
      <c r="H46" s="155"/>
      <c r="I46" s="155"/>
    </row>
    <row r="47" spans="1:9" ht="31.5" customHeight="1">
      <c r="A47" s="96" t="s">
        <v>1</v>
      </c>
      <c r="B47" s="39" t="s">
        <v>2</v>
      </c>
      <c r="C47" s="66">
        <v>5</v>
      </c>
      <c r="D47" s="66">
        <v>4.3</v>
      </c>
      <c r="E47" s="66">
        <v>4</v>
      </c>
      <c r="F47" s="66">
        <v>4.2</v>
      </c>
      <c r="G47" s="66">
        <v>4.2</v>
      </c>
      <c r="H47" s="66">
        <v>4.2</v>
      </c>
      <c r="I47" s="66">
        <v>4.2</v>
      </c>
    </row>
    <row r="48" spans="1:9" ht="31.5" customHeight="1">
      <c r="A48" s="16" t="s">
        <v>188</v>
      </c>
      <c r="B48" s="39" t="s">
        <v>4</v>
      </c>
      <c r="C48" s="66">
        <v>89.9</v>
      </c>
      <c r="D48" s="66">
        <f>D47/1.092*100/C47</f>
        <v>78.75457875457874</v>
      </c>
      <c r="E48" s="66">
        <f>E47/1.328*100/D47</f>
        <v>70.04763239002521</v>
      </c>
      <c r="F48" s="66">
        <f>F47/1.113*100/E47</f>
        <v>94.33962264150944</v>
      </c>
      <c r="G48" s="66">
        <f>G47/1.036*100/F47</f>
        <v>96.52509652509653</v>
      </c>
      <c r="H48" s="66">
        <f>H47/1.038*100/G47</f>
        <v>96.33911368015416</v>
      </c>
      <c r="I48" s="66">
        <f>I47/1.029*100/H47</f>
        <v>97.18172983479106</v>
      </c>
    </row>
    <row r="49" spans="1:9" s="6" customFormat="1" ht="31.5" customHeight="1">
      <c r="A49" s="96" t="s">
        <v>191</v>
      </c>
      <c r="B49" s="39" t="s">
        <v>5</v>
      </c>
      <c r="C49" s="66">
        <f>C47/C26*100</f>
        <v>0.8387854386847844</v>
      </c>
      <c r="D49" s="66">
        <f aca="true" t="shared" si="8" ref="D49:I49">D47/D26*100</f>
        <v>0.6462278328824766</v>
      </c>
      <c r="E49" s="66">
        <f t="shared" si="8"/>
        <v>0.5324104884866232</v>
      </c>
      <c r="F49" s="66">
        <f t="shared" si="8"/>
        <v>0.4974535117849106</v>
      </c>
      <c r="G49" s="66">
        <f t="shared" si="8"/>
        <v>0.47748976807639837</v>
      </c>
      <c r="H49" s="66">
        <f t="shared" si="8"/>
        <v>0.4580652197622424</v>
      </c>
      <c r="I49" s="66">
        <f t="shared" si="8"/>
        <v>0.4395144411887819</v>
      </c>
    </row>
    <row r="50" spans="1:9" s="13" customFormat="1" ht="19.5" customHeight="1">
      <c r="A50" s="156" t="s">
        <v>127</v>
      </c>
      <c r="B50" s="156"/>
      <c r="C50" s="156"/>
      <c r="D50" s="156"/>
      <c r="E50" s="156"/>
      <c r="F50" s="156"/>
      <c r="G50" s="156"/>
      <c r="H50" s="156"/>
      <c r="I50" s="156"/>
    </row>
    <row r="51" spans="1:9" ht="31.5" customHeight="1">
      <c r="A51" s="96" t="s">
        <v>1</v>
      </c>
      <c r="B51" s="39" t="s">
        <v>2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</row>
    <row r="52" spans="1:9" ht="31.5" customHeight="1">
      <c r="A52" s="96" t="s">
        <v>3</v>
      </c>
      <c r="B52" s="39" t="s">
        <v>4</v>
      </c>
      <c r="C52" s="66">
        <v>0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</row>
    <row r="53" spans="1:9" s="6" customFormat="1" ht="31.5" customHeight="1">
      <c r="A53" s="96" t="s">
        <v>191</v>
      </c>
      <c r="B53" s="39" t="s">
        <v>5</v>
      </c>
      <c r="C53" s="66">
        <v>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</row>
    <row r="54" spans="1:9" s="13" customFormat="1" ht="19.5" customHeight="1">
      <c r="A54" s="155" t="s">
        <v>92</v>
      </c>
      <c r="B54" s="155"/>
      <c r="C54" s="155"/>
      <c r="D54" s="155"/>
      <c r="E54" s="155"/>
      <c r="F54" s="155"/>
      <c r="G54" s="155"/>
      <c r="H54" s="155"/>
      <c r="I54" s="155"/>
    </row>
    <row r="55" spans="1:9" ht="31.5" customHeight="1">
      <c r="A55" s="96" t="s">
        <v>1</v>
      </c>
      <c r="B55" s="39" t="s">
        <v>2</v>
      </c>
      <c r="C55" s="66">
        <v>0</v>
      </c>
      <c r="D55" s="66">
        <v>0</v>
      </c>
      <c r="E55" s="66">
        <v>0.4</v>
      </c>
      <c r="F55" s="66">
        <v>2.4</v>
      </c>
      <c r="G55" s="66">
        <v>2.5</v>
      </c>
      <c r="H55" s="66">
        <v>2.6</v>
      </c>
      <c r="I55" s="66">
        <v>2.7</v>
      </c>
    </row>
    <row r="56" spans="1:9" ht="31.5" customHeight="1">
      <c r="A56" s="16" t="s">
        <v>188</v>
      </c>
      <c r="B56" s="39" t="s">
        <v>4</v>
      </c>
      <c r="C56" s="66">
        <v>0</v>
      </c>
      <c r="D56" s="66">
        <v>0</v>
      </c>
      <c r="E56" s="66">
        <v>0</v>
      </c>
      <c r="F56" s="66">
        <f>F55*1.046*100/E55</f>
        <v>627.6</v>
      </c>
      <c r="G56" s="66">
        <f>G55/1.019*100/F55</f>
        <v>102.22440300948644</v>
      </c>
      <c r="H56" s="66">
        <f>H55/1.027*100/G55</f>
        <v>101.26582278481013</v>
      </c>
      <c r="I56" s="66">
        <f>I55/1.021*100/H55</f>
        <v>101.71023883070896</v>
      </c>
    </row>
    <row r="57" spans="1:9" s="6" customFormat="1" ht="31.5" customHeight="1">
      <c r="A57" s="96" t="s">
        <v>191</v>
      </c>
      <c r="B57" s="39" t="s">
        <v>5</v>
      </c>
      <c r="C57" s="66">
        <f>C55/C26*100</f>
        <v>0</v>
      </c>
      <c r="D57" s="66">
        <f aca="true" t="shared" si="9" ref="D57:I57">D55/D26*100</f>
        <v>0</v>
      </c>
      <c r="E57" s="66">
        <f t="shared" si="9"/>
        <v>0.05324104884866232</v>
      </c>
      <c r="F57" s="66">
        <f t="shared" si="9"/>
        <v>0.2842591495913775</v>
      </c>
      <c r="G57" s="66">
        <f t="shared" si="9"/>
        <v>0.2842201000454752</v>
      </c>
      <c r="H57" s="66">
        <f t="shared" si="9"/>
        <v>0.2835641836623405</v>
      </c>
      <c r="I57" s="66">
        <f t="shared" si="9"/>
        <v>0.2825449979070741</v>
      </c>
    </row>
    <row r="58" spans="1:9" s="13" customFormat="1" ht="19.5" customHeight="1">
      <c r="A58" s="155" t="s">
        <v>93</v>
      </c>
      <c r="B58" s="155"/>
      <c r="C58" s="155"/>
      <c r="D58" s="155"/>
      <c r="E58" s="155"/>
      <c r="F58" s="155"/>
      <c r="G58" s="155"/>
      <c r="H58" s="155"/>
      <c r="I58" s="155"/>
    </row>
    <row r="59" spans="1:9" ht="25.5">
      <c r="A59" s="96" t="s">
        <v>1</v>
      </c>
      <c r="B59" s="39" t="s">
        <v>2</v>
      </c>
      <c r="C59" s="66">
        <v>0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</row>
    <row r="60" spans="1:9" ht="27" customHeight="1">
      <c r="A60" s="16" t="s">
        <v>188</v>
      </c>
      <c r="B60" s="39" t="s">
        <v>4</v>
      </c>
      <c r="C60" s="66">
        <v>0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</row>
    <row r="61" spans="1:9" s="6" customFormat="1" ht="31.5">
      <c r="A61" s="96" t="s">
        <v>191</v>
      </c>
      <c r="B61" s="39" t="s">
        <v>5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</row>
    <row r="62" spans="1:9" s="13" customFormat="1" ht="19.5" customHeight="1">
      <c r="A62" s="155" t="s">
        <v>94</v>
      </c>
      <c r="B62" s="155"/>
      <c r="C62" s="155"/>
      <c r="D62" s="155"/>
      <c r="E62" s="155"/>
      <c r="F62" s="155"/>
      <c r="G62" s="155"/>
      <c r="H62" s="155"/>
      <c r="I62" s="155"/>
    </row>
    <row r="63" spans="1:9" ht="25.5">
      <c r="A63" s="96" t="s">
        <v>1</v>
      </c>
      <c r="B63" s="39" t="s">
        <v>2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</row>
    <row r="64" spans="1:9" ht="25.5" customHeight="1">
      <c r="A64" s="16" t="s">
        <v>188</v>
      </c>
      <c r="B64" s="39" t="s">
        <v>4</v>
      </c>
      <c r="C64" s="66">
        <v>0</v>
      </c>
      <c r="D64" s="66">
        <v>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</row>
    <row r="65" spans="1:9" s="6" customFormat="1" ht="31.5">
      <c r="A65" s="96" t="s">
        <v>191</v>
      </c>
      <c r="B65" s="39" t="s">
        <v>5</v>
      </c>
      <c r="C65" s="66">
        <v>0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</row>
    <row r="66" spans="1:9" s="13" customFormat="1" ht="19.5" customHeight="1">
      <c r="A66" s="155" t="s">
        <v>95</v>
      </c>
      <c r="B66" s="155"/>
      <c r="C66" s="155"/>
      <c r="D66" s="155"/>
      <c r="E66" s="155"/>
      <c r="F66" s="155"/>
      <c r="G66" s="155"/>
      <c r="H66" s="155"/>
      <c r="I66" s="155"/>
    </row>
    <row r="67" spans="1:9" ht="21" customHeight="1">
      <c r="A67" s="96" t="s">
        <v>1</v>
      </c>
      <c r="B67" s="39" t="s">
        <v>2</v>
      </c>
      <c r="C67" s="66">
        <v>27.8</v>
      </c>
      <c r="D67" s="66">
        <v>20.3</v>
      </c>
      <c r="E67" s="66">
        <v>11.7</v>
      </c>
      <c r="F67" s="66">
        <v>12.3</v>
      </c>
      <c r="G67" s="66">
        <v>12.3</v>
      </c>
      <c r="H67" s="66">
        <v>12.3</v>
      </c>
      <c r="I67" s="66">
        <v>12.3</v>
      </c>
    </row>
    <row r="68" spans="1:9" ht="30.75" customHeight="1">
      <c r="A68" s="96" t="s">
        <v>3</v>
      </c>
      <c r="B68" s="39" t="s">
        <v>4</v>
      </c>
      <c r="C68" s="66">
        <v>117.1</v>
      </c>
      <c r="D68" s="66">
        <f>D67/1.256*100/C67</f>
        <v>58.13820281354534</v>
      </c>
      <c r="E68" s="66">
        <f>E67/1.256*100/D67</f>
        <v>45.888111449279904</v>
      </c>
      <c r="F68" s="66">
        <f>F67/1.031*100/E67</f>
        <v>101.96722126887018</v>
      </c>
      <c r="G68" s="66">
        <f>G67/1.046*100/F67</f>
        <v>95.60229445506693</v>
      </c>
      <c r="H68" s="66">
        <f>H67/1.053*100/G67</f>
        <v>94.96676163342832</v>
      </c>
      <c r="I68" s="66">
        <f>I67/1.055*100/H67</f>
        <v>94.7867298578199</v>
      </c>
    </row>
    <row r="69" spans="1:9" s="6" customFormat="1" ht="31.5">
      <c r="A69" s="96" t="s">
        <v>191</v>
      </c>
      <c r="B69" s="39" t="s">
        <v>5</v>
      </c>
      <c r="C69" s="66">
        <f>C67/C26*100</f>
        <v>4.663647039087401</v>
      </c>
      <c r="D69" s="66">
        <f aca="true" t="shared" si="10" ref="D69:I69">D67/D26*100</f>
        <v>3.050796513375413</v>
      </c>
      <c r="E69" s="66">
        <f t="shared" si="10"/>
        <v>1.5573006788233728</v>
      </c>
      <c r="F69" s="66">
        <f t="shared" si="10"/>
        <v>1.4568281416558098</v>
      </c>
      <c r="G69" s="66">
        <f t="shared" si="10"/>
        <v>1.398362892223738</v>
      </c>
      <c r="H69" s="66">
        <f t="shared" si="10"/>
        <v>1.3414767150179954</v>
      </c>
      <c r="I69" s="66">
        <f t="shared" si="10"/>
        <v>1.2871494349100043</v>
      </c>
    </row>
    <row r="70" spans="1:9" s="13" customFormat="1" ht="19.5" customHeight="1">
      <c r="A70" s="155" t="s">
        <v>96</v>
      </c>
      <c r="B70" s="155"/>
      <c r="C70" s="155"/>
      <c r="D70" s="155"/>
      <c r="E70" s="155"/>
      <c r="F70" s="155"/>
      <c r="G70" s="155"/>
      <c r="H70" s="155"/>
      <c r="I70" s="155"/>
    </row>
    <row r="71" spans="1:9" ht="31.5" customHeight="1">
      <c r="A71" s="96" t="s">
        <v>1</v>
      </c>
      <c r="B71" s="39" t="s">
        <v>2</v>
      </c>
      <c r="C71" s="66">
        <v>0</v>
      </c>
      <c r="D71" s="66">
        <v>0</v>
      </c>
      <c r="E71" s="66">
        <v>0</v>
      </c>
      <c r="F71" s="66">
        <v>0</v>
      </c>
      <c r="G71" s="66">
        <v>0</v>
      </c>
      <c r="H71" s="66">
        <v>0</v>
      </c>
      <c r="I71" s="66">
        <v>0</v>
      </c>
    </row>
    <row r="72" spans="1:9" ht="31.5" customHeight="1">
      <c r="A72" s="16" t="s">
        <v>188</v>
      </c>
      <c r="B72" s="39" t="s">
        <v>4</v>
      </c>
      <c r="C72" s="66">
        <v>0</v>
      </c>
      <c r="D72" s="66">
        <v>0</v>
      </c>
      <c r="E72" s="66">
        <v>0</v>
      </c>
      <c r="F72" s="66">
        <v>0</v>
      </c>
      <c r="G72" s="66">
        <v>0</v>
      </c>
      <c r="H72" s="66">
        <v>0</v>
      </c>
      <c r="I72" s="66">
        <v>0</v>
      </c>
    </row>
    <row r="73" spans="1:9" s="6" customFormat="1" ht="31.5" customHeight="1">
      <c r="A73" s="96" t="s">
        <v>191</v>
      </c>
      <c r="B73" s="39" t="s">
        <v>5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  <c r="H73" s="66">
        <v>0</v>
      </c>
      <c r="I73" s="66">
        <v>0</v>
      </c>
    </row>
    <row r="74" spans="1:9" s="13" customFormat="1" ht="19.5" customHeight="1">
      <c r="A74" s="155" t="s">
        <v>97</v>
      </c>
      <c r="B74" s="155"/>
      <c r="C74" s="155"/>
      <c r="D74" s="155"/>
      <c r="E74" s="155"/>
      <c r="F74" s="155"/>
      <c r="G74" s="155"/>
      <c r="H74" s="155"/>
      <c r="I74" s="155"/>
    </row>
    <row r="75" spans="1:9" ht="31.5" customHeight="1">
      <c r="A75" s="96" t="s">
        <v>1</v>
      </c>
      <c r="B75" s="39" t="s">
        <v>2</v>
      </c>
      <c r="C75" s="66">
        <v>368</v>
      </c>
      <c r="D75" s="66">
        <v>431.9</v>
      </c>
      <c r="E75" s="66">
        <v>514</v>
      </c>
      <c r="F75" s="66">
        <v>589.6</v>
      </c>
      <c r="G75" s="66">
        <v>619.1</v>
      </c>
      <c r="H75" s="66">
        <v>650.1</v>
      </c>
      <c r="I75" s="66">
        <v>682.6</v>
      </c>
    </row>
    <row r="76" spans="1:9" ht="31.5" customHeight="1">
      <c r="A76" s="16" t="s">
        <v>188</v>
      </c>
      <c r="B76" s="39" t="s">
        <v>4</v>
      </c>
      <c r="C76" s="66">
        <v>77.3</v>
      </c>
      <c r="D76" s="66">
        <f>D75/0.989*100/C75</f>
        <v>118.66949487844552</v>
      </c>
      <c r="E76" s="66">
        <f>E75/1.121*100/D75</f>
        <v>106.16327374489296</v>
      </c>
      <c r="F76" s="66">
        <f>F75/1.066*100/E75</f>
        <v>107.60616435856068</v>
      </c>
      <c r="G76" s="66">
        <f>G75/1.052*100/F75</f>
        <v>99.8131103899789</v>
      </c>
      <c r="H76" s="66">
        <f>H75/1.044*100/G75</f>
        <v>100.581674919284</v>
      </c>
      <c r="I76" s="66">
        <f>I75/1.031*100/H75</f>
        <v>101.84212501217823</v>
      </c>
    </row>
    <row r="77" spans="1:9" s="6" customFormat="1" ht="31.5" customHeight="1">
      <c r="A77" s="96" t="s">
        <v>191</v>
      </c>
      <c r="B77" s="39" t="s">
        <v>5</v>
      </c>
      <c r="C77" s="66">
        <f>C75/C26*100</f>
        <v>61.73460828720013</v>
      </c>
      <c r="D77" s="66">
        <f aca="true" t="shared" si="11" ref="D77:I77">D75/D26*100</f>
        <v>64.90832581905619</v>
      </c>
      <c r="E77" s="66">
        <f t="shared" si="11"/>
        <v>68.41474777053108</v>
      </c>
      <c r="F77" s="66">
        <f t="shared" si="11"/>
        <v>69.83299774961506</v>
      </c>
      <c r="G77" s="66">
        <f t="shared" si="11"/>
        <v>70.38426557526148</v>
      </c>
      <c r="H77" s="66">
        <f t="shared" si="11"/>
        <v>70.90195223034137</v>
      </c>
      <c r="I77" s="66">
        <f t="shared" si="11"/>
        <v>71.43156132272918</v>
      </c>
    </row>
    <row r="78" spans="1:9" s="13" customFormat="1" ht="19.5" customHeight="1">
      <c r="A78" s="155" t="s">
        <v>98</v>
      </c>
      <c r="B78" s="155"/>
      <c r="C78" s="155"/>
      <c r="D78" s="155"/>
      <c r="E78" s="155"/>
      <c r="F78" s="155"/>
      <c r="G78" s="155"/>
      <c r="H78" s="155"/>
      <c r="I78" s="155"/>
    </row>
    <row r="79" spans="1:9" ht="31.5" customHeight="1">
      <c r="A79" s="96" t="s">
        <v>1</v>
      </c>
      <c r="B79" s="39" t="s">
        <v>2</v>
      </c>
      <c r="C79" s="66">
        <v>0</v>
      </c>
      <c r="D79" s="66">
        <v>0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</row>
    <row r="80" spans="1:9" ht="31.5" customHeight="1">
      <c r="A80" s="16" t="s">
        <v>188</v>
      </c>
      <c r="B80" s="39" t="s">
        <v>4</v>
      </c>
      <c r="C80" s="66">
        <v>0</v>
      </c>
      <c r="D80" s="66">
        <v>0</v>
      </c>
      <c r="E80" s="66">
        <v>0</v>
      </c>
      <c r="F80" s="66">
        <v>0</v>
      </c>
      <c r="G80" s="66">
        <v>0</v>
      </c>
      <c r="H80" s="66">
        <v>0</v>
      </c>
      <c r="I80" s="66">
        <v>0</v>
      </c>
    </row>
    <row r="81" spans="1:9" s="6" customFormat="1" ht="31.5" customHeight="1">
      <c r="A81" s="96" t="s">
        <v>191</v>
      </c>
      <c r="B81" s="39" t="s">
        <v>5</v>
      </c>
      <c r="C81" s="66">
        <v>0</v>
      </c>
      <c r="D81" s="66">
        <v>0</v>
      </c>
      <c r="E81" s="66">
        <v>0</v>
      </c>
      <c r="F81" s="66">
        <v>0</v>
      </c>
      <c r="G81" s="66">
        <v>0</v>
      </c>
      <c r="H81" s="66">
        <v>0</v>
      </c>
      <c r="I81" s="66">
        <v>0</v>
      </c>
    </row>
    <row r="82" spans="1:9" s="13" customFormat="1" ht="19.5" customHeight="1">
      <c r="A82" s="156" t="s">
        <v>81</v>
      </c>
      <c r="B82" s="156"/>
      <c r="C82" s="156"/>
      <c r="D82" s="156"/>
      <c r="E82" s="156"/>
      <c r="F82" s="156"/>
      <c r="G82" s="156"/>
      <c r="H82" s="156"/>
      <c r="I82" s="156"/>
    </row>
    <row r="83" spans="1:9" ht="31.5" customHeight="1">
      <c r="A83" s="96" t="s">
        <v>1</v>
      </c>
      <c r="B83" s="39" t="s">
        <v>2</v>
      </c>
      <c r="C83" s="66">
        <v>0</v>
      </c>
      <c r="D83" s="66">
        <v>0</v>
      </c>
      <c r="E83" s="66">
        <v>0</v>
      </c>
      <c r="F83" s="66">
        <v>0</v>
      </c>
      <c r="G83" s="66">
        <v>0</v>
      </c>
      <c r="H83" s="66">
        <v>0</v>
      </c>
      <c r="I83" s="66">
        <v>0</v>
      </c>
    </row>
    <row r="84" spans="1:9" ht="31.5" customHeight="1">
      <c r="A84" s="16" t="s">
        <v>188</v>
      </c>
      <c r="B84" s="39" t="s">
        <v>4</v>
      </c>
      <c r="C84" s="66">
        <v>0</v>
      </c>
      <c r="D84" s="66">
        <v>0</v>
      </c>
      <c r="E84" s="66">
        <v>0</v>
      </c>
      <c r="F84" s="66">
        <v>0</v>
      </c>
      <c r="G84" s="66">
        <v>0</v>
      </c>
      <c r="H84" s="66">
        <v>0</v>
      </c>
      <c r="I84" s="66">
        <v>0</v>
      </c>
    </row>
    <row r="85" spans="1:9" s="6" customFormat="1" ht="31.5" customHeight="1">
      <c r="A85" s="96" t="s">
        <v>191</v>
      </c>
      <c r="B85" s="39" t="s">
        <v>5</v>
      </c>
      <c r="C85" s="66">
        <v>0</v>
      </c>
      <c r="D85" s="66">
        <v>0</v>
      </c>
      <c r="E85" s="66">
        <v>0</v>
      </c>
      <c r="F85" s="66">
        <v>0</v>
      </c>
      <c r="G85" s="66">
        <v>0</v>
      </c>
      <c r="H85" s="66">
        <v>0</v>
      </c>
      <c r="I85" s="66">
        <v>0</v>
      </c>
    </row>
    <row r="86" spans="1:9" s="13" customFormat="1" ht="19.5" customHeight="1">
      <c r="A86" s="156" t="s">
        <v>82</v>
      </c>
      <c r="B86" s="156"/>
      <c r="C86" s="156"/>
      <c r="D86" s="156"/>
      <c r="E86" s="156"/>
      <c r="F86" s="156"/>
      <c r="G86" s="156"/>
      <c r="H86" s="156"/>
      <c r="I86" s="156"/>
    </row>
    <row r="87" spans="1:9" ht="31.5" customHeight="1">
      <c r="A87" s="16" t="s">
        <v>1</v>
      </c>
      <c r="B87" s="39" t="s">
        <v>2</v>
      </c>
      <c r="C87" s="66">
        <v>0</v>
      </c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</row>
    <row r="88" spans="1:9" ht="31.5" customHeight="1">
      <c r="A88" s="16" t="s">
        <v>3</v>
      </c>
      <c r="B88" s="39" t="s">
        <v>4</v>
      </c>
      <c r="C88" s="66">
        <v>0</v>
      </c>
      <c r="D88" s="66">
        <v>0</v>
      </c>
      <c r="E88" s="66">
        <v>0</v>
      </c>
      <c r="F88" s="66">
        <v>0</v>
      </c>
      <c r="G88" s="66">
        <v>0</v>
      </c>
      <c r="H88" s="66">
        <v>0</v>
      </c>
      <c r="I88" s="66">
        <v>0</v>
      </c>
    </row>
    <row r="89" spans="1:9" s="6" customFormat="1" ht="31.5" customHeight="1">
      <c r="A89" s="96" t="s">
        <v>191</v>
      </c>
      <c r="B89" s="39" t="s">
        <v>5</v>
      </c>
      <c r="C89" s="66">
        <v>0</v>
      </c>
      <c r="D89" s="66">
        <v>0</v>
      </c>
      <c r="E89" s="66">
        <v>0</v>
      </c>
      <c r="F89" s="66">
        <v>0</v>
      </c>
      <c r="G89" s="66">
        <v>0</v>
      </c>
      <c r="H89" s="66">
        <v>0</v>
      </c>
      <c r="I89" s="66">
        <v>0</v>
      </c>
    </row>
    <row r="90" spans="1:9" ht="19.5" customHeight="1">
      <c r="A90" s="151" t="s">
        <v>197</v>
      </c>
      <c r="B90" s="151"/>
      <c r="C90" s="151"/>
      <c r="D90" s="151"/>
      <c r="E90" s="151"/>
      <c r="F90" s="151"/>
      <c r="G90" s="151"/>
      <c r="H90" s="151"/>
      <c r="I90" s="151"/>
    </row>
    <row r="91" spans="1:9" ht="31.5" customHeight="1">
      <c r="A91" s="16" t="s">
        <v>1</v>
      </c>
      <c r="B91" s="39" t="s">
        <v>2</v>
      </c>
      <c r="C91" s="66">
        <v>529.4</v>
      </c>
      <c r="D91" s="66">
        <v>609.1</v>
      </c>
      <c r="E91" s="66">
        <v>619.9</v>
      </c>
      <c r="F91" s="66">
        <v>650.7</v>
      </c>
      <c r="G91" s="66">
        <v>671.3</v>
      </c>
      <c r="H91" s="66">
        <v>695.1</v>
      </c>
      <c r="I91" s="66">
        <v>716.7</v>
      </c>
    </row>
    <row r="92" spans="1:9" ht="31.5" customHeight="1">
      <c r="A92" s="16" t="s">
        <v>188</v>
      </c>
      <c r="B92" s="39" t="s">
        <v>4</v>
      </c>
      <c r="C92" s="66">
        <v>117.5</v>
      </c>
      <c r="D92" s="66">
        <f>D91/1.054*100/C91</f>
        <v>109.16013187389827</v>
      </c>
      <c r="E92" s="66">
        <f>E91/1.054*100/D91</f>
        <v>96.55892586723124</v>
      </c>
      <c r="F92" s="66">
        <f>F91/1.077*100/E91</f>
        <v>97.46382851758372</v>
      </c>
      <c r="G92" s="66">
        <f>G91/1.06*100/F91</f>
        <v>97.32624662554981</v>
      </c>
      <c r="H92" s="66">
        <f>H91/1.051*100/G91</f>
        <v>98.52079900070346</v>
      </c>
      <c r="I92" s="66">
        <f>I91/1.047*100/H91</f>
        <v>98.47895563665263</v>
      </c>
    </row>
    <row r="93" spans="1:9" s="6" customFormat="1" ht="31.5" customHeight="1">
      <c r="A93" s="16" t="s">
        <v>189</v>
      </c>
      <c r="B93" s="39" t="s">
        <v>5</v>
      </c>
      <c r="C93" s="66">
        <f>C91/C9*100</f>
        <v>41.823352820350756</v>
      </c>
      <c r="D93" s="66">
        <f aca="true" t="shared" si="12" ref="D93:I93">D91/D9*100</f>
        <v>47.147612044275874</v>
      </c>
      <c r="E93" s="66">
        <f t="shared" si="12"/>
        <v>45.17563037458097</v>
      </c>
      <c r="F93" s="66">
        <f t="shared" si="12"/>
        <v>43.52508361204014</v>
      </c>
      <c r="G93" s="66">
        <f t="shared" si="12"/>
        <v>43.28454445805661</v>
      </c>
      <c r="H93" s="66">
        <f t="shared" si="12"/>
        <v>43.12034739454094</v>
      </c>
      <c r="I93" s="66">
        <f t="shared" si="12"/>
        <v>42.857142857142854</v>
      </c>
    </row>
    <row r="94" spans="1:9" s="13" customFormat="1" ht="19.5" customHeight="1">
      <c r="A94" s="97" t="s">
        <v>83</v>
      </c>
      <c r="B94" s="73"/>
      <c r="C94" s="66"/>
      <c r="D94" s="66"/>
      <c r="E94" s="66"/>
      <c r="F94" s="66"/>
      <c r="G94" s="66"/>
      <c r="H94" s="66"/>
      <c r="I94" s="66"/>
    </row>
    <row r="95" spans="1:9" s="13" customFormat="1" ht="19.5" customHeight="1">
      <c r="A95" s="152" t="s">
        <v>125</v>
      </c>
      <c r="B95" s="152"/>
      <c r="C95" s="152"/>
      <c r="D95" s="152"/>
      <c r="E95" s="152"/>
      <c r="F95" s="152"/>
      <c r="G95" s="152"/>
      <c r="H95" s="152"/>
      <c r="I95" s="152"/>
    </row>
    <row r="96" spans="1:9" ht="31.5" customHeight="1">
      <c r="A96" s="16" t="s">
        <v>1</v>
      </c>
      <c r="B96" s="39" t="s">
        <v>2</v>
      </c>
      <c r="C96" s="66">
        <v>481.9</v>
      </c>
      <c r="D96" s="66">
        <v>453.5</v>
      </c>
      <c r="E96" s="66">
        <v>468</v>
      </c>
      <c r="F96" s="66">
        <v>483</v>
      </c>
      <c r="G96" s="66">
        <v>491</v>
      </c>
      <c r="H96" s="66">
        <v>501.9</v>
      </c>
      <c r="I96" s="66">
        <v>513.8</v>
      </c>
    </row>
    <row r="97" spans="1:9" ht="31.5" customHeight="1">
      <c r="A97" s="16" t="s">
        <v>188</v>
      </c>
      <c r="B97" s="39" t="s">
        <v>4</v>
      </c>
      <c r="C97" s="66">
        <v>122.5</v>
      </c>
      <c r="D97" s="66">
        <f>D96/1.054*100/C96</f>
        <v>89.28525724194985</v>
      </c>
      <c r="E97" s="66">
        <f>E96/1.054*100/D96</f>
        <v>97.9102029544613</v>
      </c>
      <c r="F97" s="66">
        <f>F96/1.077*100/E96</f>
        <v>95.82648858414875</v>
      </c>
      <c r="G97" s="66">
        <f>G96/1.06*100/F96</f>
        <v>95.90218367904995</v>
      </c>
      <c r="H97" s="66">
        <f>H96/1.051*100/G96</f>
        <v>97.25971385994524</v>
      </c>
      <c r="I97" s="66">
        <f>I96/1.047*100/H96</f>
        <v>97.77553986351387</v>
      </c>
    </row>
    <row r="98" spans="1:9" s="6" customFormat="1" ht="31.5" customHeight="1">
      <c r="A98" s="96" t="s">
        <v>192</v>
      </c>
      <c r="B98" s="39" t="s">
        <v>5</v>
      </c>
      <c r="C98" s="66">
        <f>C96/C91*100</f>
        <v>91.02757839063091</v>
      </c>
      <c r="D98" s="66">
        <f aca="true" t="shared" si="13" ref="D98:I98">D96/D91*100</f>
        <v>74.45411262518469</v>
      </c>
      <c r="E98" s="66">
        <f t="shared" si="13"/>
        <v>75.49604774963704</v>
      </c>
      <c r="F98" s="66">
        <f t="shared" si="13"/>
        <v>74.22775472568003</v>
      </c>
      <c r="G98" s="66">
        <f t="shared" si="13"/>
        <v>73.1416654252942</v>
      </c>
      <c r="H98" s="66">
        <f t="shared" si="13"/>
        <v>72.20543806646525</v>
      </c>
      <c r="I98" s="66">
        <f t="shared" si="13"/>
        <v>71.68968885168131</v>
      </c>
    </row>
    <row r="99" spans="1:9" s="13" customFormat="1" ht="19.5" customHeight="1">
      <c r="A99" s="152" t="s">
        <v>126</v>
      </c>
      <c r="B99" s="152"/>
      <c r="C99" s="152"/>
      <c r="D99" s="152"/>
      <c r="E99" s="152"/>
      <c r="F99" s="152"/>
      <c r="G99" s="152"/>
      <c r="H99" s="152"/>
      <c r="I99" s="152"/>
    </row>
    <row r="100" spans="1:9" ht="31.5" customHeight="1">
      <c r="A100" s="16" t="s">
        <v>1</v>
      </c>
      <c r="B100" s="39" t="s">
        <v>2</v>
      </c>
      <c r="C100" s="66">
        <v>47.5</v>
      </c>
      <c r="D100" s="66">
        <v>63.1</v>
      </c>
      <c r="E100" s="66">
        <v>54.7</v>
      </c>
      <c r="F100" s="66">
        <v>59.9</v>
      </c>
      <c r="G100" s="66">
        <v>64.1</v>
      </c>
      <c r="H100" s="66">
        <v>68.3</v>
      </c>
      <c r="I100" s="66">
        <v>72.3</v>
      </c>
    </row>
    <row r="101" spans="1:9" s="6" customFormat="1" ht="31.5" customHeight="1">
      <c r="A101" s="16" t="s">
        <v>188</v>
      </c>
      <c r="B101" s="39" t="s">
        <v>4</v>
      </c>
      <c r="C101" s="66">
        <v>83</v>
      </c>
      <c r="D101" s="66">
        <f>D100/1.054*100/C100</f>
        <v>126.03615300109858</v>
      </c>
      <c r="E101" s="66">
        <f>E100/1.054*100/D100</f>
        <v>82.24648685710162</v>
      </c>
      <c r="F101" s="66">
        <f>F100/1.077*100/E100</f>
        <v>101.677250266924</v>
      </c>
      <c r="G101" s="66">
        <f>G100/1.06*100/F100</f>
        <v>100.95442089016284</v>
      </c>
      <c r="H101" s="66">
        <f>H100/1.051*100/G100</f>
        <v>101.38179076163998</v>
      </c>
      <c r="I101" s="66">
        <f>I100/1.047*100/H100</f>
        <v>101.1045992104612</v>
      </c>
    </row>
    <row r="102" spans="1:9" s="6" customFormat="1" ht="31.5" customHeight="1">
      <c r="A102" s="96" t="s">
        <v>192</v>
      </c>
      <c r="B102" s="39" t="s">
        <v>5</v>
      </c>
      <c r="C102" s="66">
        <f>C100/C91*100</f>
        <v>8.972421609369098</v>
      </c>
      <c r="D102" s="66">
        <f aca="true" t="shared" si="14" ref="D102:I102">D100/D91*100</f>
        <v>10.35954687243474</v>
      </c>
      <c r="E102" s="66">
        <f t="shared" si="14"/>
        <v>8.824003871592193</v>
      </c>
      <c r="F102" s="66">
        <f t="shared" si="14"/>
        <v>9.20547103119717</v>
      </c>
      <c r="G102" s="66">
        <f t="shared" si="14"/>
        <v>9.54863697303739</v>
      </c>
      <c r="H102" s="66">
        <f t="shared" si="14"/>
        <v>9.825924327434901</v>
      </c>
      <c r="I102" s="66">
        <f t="shared" si="14"/>
        <v>10.087902888237755</v>
      </c>
    </row>
    <row r="103" spans="1:9" ht="19.5" customHeight="1">
      <c r="A103" s="153" t="s">
        <v>203</v>
      </c>
      <c r="B103" s="153"/>
      <c r="C103" s="153"/>
      <c r="D103" s="153"/>
      <c r="E103" s="153"/>
      <c r="F103" s="153"/>
      <c r="G103" s="153"/>
      <c r="H103" s="153"/>
      <c r="I103" s="153"/>
    </row>
    <row r="104" spans="1:9" ht="31.5">
      <c r="A104" s="98" t="s">
        <v>204</v>
      </c>
      <c r="B104" s="40" t="s">
        <v>8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</row>
    <row r="105" spans="1:9" ht="31.5">
      <c r="A105" s="98" t="s">
        <v>205</v>
      </c>
      <c r="B105" s="40" t="s">
        <v>206</v>
      </c>
      <c r="C105" s="47">
        <v>0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</row>
    <row r="106" spans="1:9" ht="16.5" customHeight="1">
      <c r="A106" s="99" t="s">
        <v>207</v>
      </c>
      <c r="B106" s="39" t="s">
        <v>7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</row>
    <row r="107" spans="1:9" ht="31.5">
      <c r="A107" s="100" t="s">
        <v>208</v>
      </c>
      <c r="B107" s="39" t="s">
        <v>7</v>
      </c>
      <c r="C107" s="67">
        <v>0</v>
      </c>
      <c r="D107" s="67">
        <v>0</v>
      </c>
      <c r="E107" s="67">
        <v>0</v>
      </c>
      <c r="F107" s="67">
        <v>0</v>
      </c>
      <c r="G107" s="67">
        <v>0</v>
      </c>
      <c r="H107" s="67">
        <v>0</v>
      </c>
      <c r="I107" s="67">
        <v>0</v>
      </c>
    </row>
    <row r="108" spans="1:9" ht="31.5">
      <c r="A108" s="99" t="s">
        <v>216</v>
      </c>
      <c r="B108" s="39" t="s">
        <v>217</v>
      </c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</row>
    <row r="109" spans="1:9" ht="15.75">
      <c r="A109" s="99" t="s">
        <v>218</v>
      </c>
      <c r="B109" s="39" t="s">
        <v>217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</row>
    <row r="110" spans="1:9" ht="15.75">
      <c r="A110" s="100" t="s">
        <v>209</v>
      </c>
      <c r="B110" s="39" t="s">
        <v>8</v>
      </c>
      <c r="C110" s="67">
        <v>0</v>
      </c>
      <c r="D110" s="67">
        <v>0</v>
      </c>
      <c r="E110" s="67">
        <v>0</v>
      </c>
      <c r="F110" s="67">
        <v>0</v>
      </c>
      <c r="G110" s="67">
        <v>0</v>
      </c>
      <c r="H110" s="67">
        <v>0</v>
      </c>
      <c r="I110" s="67">
        <v>0</v>
      </c>
    </row>
    <row r="111" spans="1:9" ht="31.5" customHeight="1">
      <c r="A111" s="99" t="s">
        <v>210</v>
      </c>
      <c r="B111" s="39" t="s">
        <v>9</v>
      </c>
      <c r="C111" s="67">
        <v>92.496</v>
      </c>
      <c r="D111" s="67">
        <v>111.43</v>
      </c>
      <c r="E111" s="67">
        <v>67.371</v>
      </c>
      <c r="F111" s="67">
        <v>67.708</v>
      </c>
      <c r="G111" s="67">
        <v>67.971</v>
      </c>
      <c r="H111" s="67">
        <v>68.115</v>
      </c>
      <c r="I111" s="67">
        <v>68.319</v>
      </c>
    </row>
    <row r="112" spans="1:9" ht="31.5" customHeight="1">
      <c r="A112" s="99" t="s">
        <v>211</v>
      </c>
      <c r="B112" s="39" t="s">
        <v>9</v>
      </c>
      <c r="C112" s="68">
        <v>7.8</v>
      </c>
      <c r="D112" s="67">
        <v>7.936</v>
      </c>
      <c r="E112" s="67">
        <v>7.07</v>
      </c>
      <c r="F112" s="67">
        <v>7.105</v>
      </c>
      <c r="G112" s="67">
        <v>7.126</v>
      </c>
      <c r="H112" s="67">
        <v>7.148</v>
      </c>
      <c r="I112" s="67">
        <v>7.169</v>
      </c>
    </row>
    <row r="113" spans="1:9" ht="41.25" customHeight="1">
      <c r="A113" s="99" t="s">
        <v>212</v>
      </c>
      <c r="B113" s="39" t="s">
        <v>10</v>
      </c>
      <c r="C113" s="67">
        <v>0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</row>
    <row r="114" spans="1:9" ht="19.5" customHeight="1">
      <c r="A114" s="99" t="s">
        <v>214</v>
      </c>
      <c r="B114" s="39" t="s">
        <v>215</v>
      </c>
      <c r="C114" s="67">
        <v>0</v>
      </c>
      <c r="D114" s="67">
        <v>0</v>
      </c>
      <c r="E114" s="67">
        <v>0</v>
      </c>
      <c r="F114" s="67">
        <v>0</v>
      </c>
      <c r="G114" s="67">
        <v>0</v>
      </c>
      <c r="H114" s="67">
        <v>0</v>
      </c>
      <c r="I114" s="67">
        <v>0</v>
      </c>
    </row>
    <row r="115" spans="1:9" ht="31.5">
      <c r="A115" s="99" t="s">
        <v>213</v>
      </c>
      <c r="B115" s="39" t="s">
        <v>11</v>
      </c>
      <c r="C115" s="67">
        <v>0</v>
      </c>
      <c r="D115" s="67">
        <v>0</v>
      </c>
      <c r="E115" s="67">
        <v>0</v>
      </c>
      <c r="F115" s="67">
        <v>0</v>
      </c>
      <c r="G115" s="67">
        <v>0</v>
      </c>
      <c r="H115" s="67">
        <v>0</v>
      </c>
      <c r="I115" s="67">
        <v>0</v>
      </c>
    </row>
    <row r="116" spans="1:9" s="19" customFormat="1" ht="21" customHeight="1">
      <c r="A116" s="162" t="s">
        <v>54</v>
      </c>
      <c r="B116" s="162"/>
      <c r="C116" s="162"/>
      <c r="D116" s="162"/>
      <c r="E116" s="162"/>
      <c r="F116" s="162"/>
      <c r="G116" s="162"/>
      <c r="H116" s="162"/>
      <c r="I116" s="162"/>
    </row>
    <row r="117" spans="1:9" s="13" customFormat="1" ht="19.5" customHeight="1">
      <c r="A117" s="160" t="s">
        <v>84</v>
      </c>
      <c r="B117" s="160"/>
      <c r="C117" s="160"/>
      <c r="D117" s="160"/>
      <c r="E117" s="160"/>
      <c r="F117" s="160"/>
      <c r="G117" s="160"/>
      <c r="H117" s="160"/>
      <c r="I117" s="160"/>
    </row>
    <row r="118" spans="1:9" ht="19.5" customHeight="1">
      <c r="A118" s="159" t="s">
        <v>120</v>
      </c>
      <c r="B118" s="159"/>
      <c r="C118" s="159"/>
      <c r="D118" s="159"/>
      <c r="E118" s="159"/>
      <c r="F118" s="159"/>
      <c r="G118" s="159"/>
      <c r="H118" s="159"/>
      <c r="I118" s="159"/>
    </row>
    <row r="119" spans="1:9" ht="31.5" customHeight="1">
      <c r="A119" s="100" t="s">
        <v>76</v>
      </c>
      <c r="B119" s="72" t="s">
        <v>6</v>
      </c>
      <c r="C119" s="69">
        <v>522.3</v>
      </c>
      <c r="D119" s="69">
        <v>588.4</v>
      </c>
      <c r="E119" s="69">
        <v>655.32</v>
      </c>
      <c r="F119" s="69">
        <f>F122+F125</f>
        <v>688.09</v>
      </c>
      <c r="G119" s="69">
        <f>G122+G125</f>
        <v>720.8499999999999</v>
      </c>
      <c r="H119" s="69">
        <f>H122+H125</f>
        <v>742.47</v>
      </c>
      <c r="I119" s="69">
        <f>I122+I125</f>
        <v>756.89</v>
      </c>
    </row>
    <row r="120" spans="1:9" ht="25.5">
      <c r="A120" s="100" t="s">
        <v>77</v>
      </c>
      <c r="B120" s="72" t="s">
        <v>4</v>
      </c>
      <c r="C120" s="70">
        <v>110.5</v>
      </c>
      <c r="D120" s="70">
        <f>D119/1.132/C119*100</f>
        <v>99.51904764804222</v>
      </c>
      <c r="E120" s="70">
        <f>E119/1.135/D119*100</f>
        <v>98.12618105696926</v>
      </c>
      <c r="F120" s="70">
        <f>F119/1.046/E119*100</f>
        <v>100.38299272353505</v>
      </c>
      <c r="G120" s="70">
        <f>G119/1.058/F119*100</f>
        <v>99.01796323353202</v>
      </c>
      <c r="H120" s="70">
        <f>H119/1.048/G119*100</f>
        <v>98.28171470597425</v>
      </c>
      <c r="I120" s="70">
        <f>I119/1.04/H119*100</f>
        <v>98.02131347446308</v>
      </c>
    </row>
    <row r="121" spans="1:9" ht="15.75">
      <c r="A121" s="99" t="s">
        <v>121</v>
      </c>
      <c r="B121" s="72"/>
      <c r="C121" s="48"/>
      <c r="D121" s="48"/>
      <c r="E121" s="48"/>
      <c r="F121" s="48"/>
      <c r="G121" s="48"/>
      <c r="H121" s="48"/>
      <c r="I121" s="48"/>
    </row>
    <row r="122" spans="1:9" ht="25.5">
      <c r="A122" s="99" t="s">
        <v>76</v>
      </c>
      <c r="B122" s="72" t="s">
        <v>6</v>
      </c>
      <c r="C122" s="48">
        <v>295.3</v>
      </c>
      <c r="D122" s="48">
        <v>353.04</v>
      </c>
      <c r="E122" s="48">
        <v>393.19</v>
      </c>
      <c r="F122" s="48">
        <v>412.85</v>
      </c>
      <c r="G122" s="48">
        <v>432.51</v>
      </c>
      <c r="H122" s="69">
        <v>445.48</v>
      </c>
      <c r="I122" s="48">
        <v>454.13</v>
      </c>
    </row>
    <row r="123" spans="1:9" ht="25.5">
      <c r="A123" s="99" t="s">
        <v>77</v>
      </c>
      <c r="B123" s="72" t="s">
        <v>4</v>
      </c>
      <c r="C123" s="70">
        <v>125.8</v>
      </c>
      <c r="D123" s="70">
        <f>D122/1.104/C122*100</f>
        <v>108.29075810892385</v>
      </c>
      <c r="E123" s="70">
        <f>E122/1.179/D122*100</f>
        <v>94.46365478508538</v>
      </c>
      <c r="F123" s="70">
        <f>F122/1.08/E122*100</f>
        <v>97.22233996757764</v>
      </c>
      <c r="G123" s="70">
        <f>G122/1.06/F122*100</f>
        <v>98.83209443788117</v>
      </c>
      <c r="H123" s="70">
        <f>H122/1.044/G122*100</f>
        <v>98.65783007165427</v>
      </c>
      <c r="I123" s="70">
        <f>I122/1.038/H122*100</f>
        <v>98.20975508567925</v>
      </c>
    </row>
    <row r="124" spans="1:9" ht="15.75">
      <c r="A124" s="99" t="s">
        <v>122</v>
      </c>
      <c r="B124" s="72"/>
      <c r="C124" s="48"/>
      <c r="D124" s="48"/>
      <c r="E124" s="48"/>
      <c r="F124" s="48"/>
      <c r="G124" s="48"/>
      <c r="H124" s="48"/>
      <c r="I124" s="48"/>
    </row>
    <row r="125" spans="1:9" ht="25.5">
      <c r="A125" s="99" t="s">
        <v>76</v>
      </c>
      <c r="B125" s="72" t="s">
        <v>6</v>
      </c>
      <c r="C125" s="70">
        <v>227</v>
      </c>
      <c r="D125" s="48">
        <v>235.36</v>
      </c>
      <c r="E125" s="48">
        <v>262.13</v>
      </c>
      <c r="F125" s="48">
        <v>275.24</v>
      </c>
      <c r="G125" s="48">
        <v>288.34</v>
      </c>
      <c r="H125" s="48">
        <v>296.99</v>
      </c>
      <c r="I125" s="48">
        <v>302.76</v>
      </c>
    </row>
    <row r="126" spans="1:9" ht="25.5">
      <c r="A126" s="99" t="s">
        <v>77</v>
      </c>
      <c r="B126" s="72" t="s">
        <v>4</v>
      </c>
      <c r="C126" s="70">
        <v>96.2</v>
      </c>
      <c r="D126" s="70">
        <f>D125/1.162/C125*100</f>
        <v>89.22789964135967</v>
      </c>
      <c r="E126" s="70">
        <f>E125/1.088/D125*100</f>
        <v>102.36586880673411</v>
      </c>
      <c r="F126" s="70">
        <f>F125/1.007/E125*100</f>
        <v>104.27143516916702</v>
      </c>
      <c r="G126" s="70">
        <f>G125/1.055/F125*100</f>
        <v>99.29808780411201</v>
      </c>
      <c r="H126" s="70">
        <f>H125/1.053/G125*100</f>
        <v>97.81569861105595</v>
      </c>
      <c r="I126" s="70">
        <f>I125/1.042/H125*100</f>
        <v>97.8338064854029</v>
      </c>
    </row>
    <row r="127" spans="1:9" ht="19.5" customHeight="1">
      <c r="A127" s="154" t="s">
        <v>15</v>
      </c>
      <c r="B127" s="154"/>
      <c r="C127" s="154"/>
      <c r="D127" s="154"/>
      <c r="E127" s="154"/>
      <c r="F127" s="154"/>
      <c r="G127" s="154"/>
      <c r="H127" s="154"/>
      <c r="I127" s="154"/>
    </row>
    <row r="128" spans="1:9" ht="47.25" customHeight="1">
      <c r="A128" s="100" t="s">
        <v>99</v>
      </c>
      <c r="B128" s="92"/>
      <c r="C128" s="48"/>
      <c r="D128" s="48"/>
      <c r="E128" s="48"/>
      <c r="F128" s="48"/>
      <c r="G128" s="48"/>
      <c r="H128" s="48"/>
      <c r="I128" s="48"/>
    </row>
    <row r="129" spans="1:9" ht="25.5">
      <c r="A129" s="100" t="s">
        <v>1</v>
      </c>
      <c r="B129" s="92" t="s">
        <v>6</v>
      </c>
      <c r="C129" s="48">
        <v>4.4</v>
      </c>
      <c r="D129" s="48">
        <v>3.5</v>
      </c>
      <c r="E129" s="71">
        <v>4.54</v>
      </c>
      <c r="F129" s="71">
        <v>4.77</v>
      </c>
      <c r="G129" s="71">
        <v>4.99</v>
      </c>
      <c r="H129" s="71">
        <v>5.14</v>
      </c>
      <c r="I129" s="71">
        <v>5.239</v>
      </c>
    </row>
    <row r="130" spans="1:9" ht="25.5">
      <c r="A130" s="100" t="s">
        <v>13</v>
      </c>
      <c r="B130" s="92" t="s">
        <v>4</v>
      </c>
      <c r="C130" s="70">
        <v>19.6</v>
      </c>
      <c r="D130" s="70">
        <f>D129/1.132/C129*100</f>
        <v>70.26983617089624</v>
      </c>
      <c r="E130" s="70">
        <f>E129/1.135/D129*100</f>
        <v>114.28571428571428</v>
      </c>
      <c r="F130" s="70">
        <f>F129/1.046/E129*100</f>
        <v>100.4455825001474</v>
      </c>
      <c r="G130" s="70">
        <f>G129/1.058/F129*100</f>
        <v>98.87727724871502</v>
      </c>
      <c r="H130" s="70">
        <f>H129/1.048/G129*100</f>
        <v>98.28817941225962</v>
      </c>
      <c r="I130" s="70">
        <f>I129/1.04/H129*100</f>
        <v>98.00583657587548</v>
      </c>
    </row>
    <row r="131" spans="1:9" ht="33.75" customHeight="1">
      <c r="A131" s="100" t="s">
        <v>100</v>
      </c>
      <c r="B131" s="92"/>
      <c r="C131" s="48"/>
      <c r="D131" s="48"/>
      <c r="E131" s="48"/>
      <c r="F131" s="48"/>
      <c r="G131" s="48"/>
      <c r="H131" s="48"/>
      <c r="I131" s="48"/>
    </row>
    <row r="132" spans="1:9" ht="25.5">
      <c r="A132" s="100" t="s">
        <v>1</v>
      </c>
      <c r="B132" s="92" t="s">
        <v>6</v>
      </c>
      <c r="C132" s="48">
        <v>24.5</v>
      </c>
      <c r="D132" s="48">
        <v>29.9</v>
      </c>
      <c r="E132" s="48">
        <v>57.39</v>
      </c>
      <c r="F132" s="71">
        <v>60.26</v>
      </c>
      <c r="G132" s="71">
        <v>63.13</v>
      </c>
      <c r="H132" s="71">
        <v>65.02</v>
      </c>
      <c r="I132" s="71">
        <v>66.286</v>
      </c>
    </row>
    <row r="133" spans="1:9" ht="25.5">
      <c r="A133" s="100" t="s">
        <v>13</v>
      </c>
      <c r="B133" s="92" t="s">
        <v>4</v>
      </c>
      <c r="C133" s="70">
        <v>141.1</v>
      </c>
      <c r="D133" s="70">
        <f>D132/1.132/C132*100</f>
        <v>107.80990841566309</v>
      </c>
      <c r="E133" s="70">
        <f>E132/1.135/D132*100</f>
        <v>169.1099553578006</v>
      </c>
      <c r="F133" s="70">
        <f>F132/1.046/E132*100</f>
        <v>100.38324209552765</v>
      </c>
      <c r="G133" s="70">
        <f>G132/1.058/F132*100</f>
        <v>99.01956048051387</v>
      </c>
      <c r="H133" s="70">
        <f>H132/1.048/G132*100</f>
        <v>98.27654796899164</v>
      </c>
      <c r="I133" s="70">
        <f>I132/1.04/H132*100</f>
        <v>98.02605115585737</v>
      </c>
    </row>
    <row r="134" spans="1:9" ht="33.75" customHeight="1">
      <c r="A134" s="100" t="s">
        <v>101</v>
      </c>
      <c r="B134" s="92"/>
      <c r="C134" s="48"/>
      <c r="D134" s="48"/>
      <c r="E134" s="48"/>
      <c r="F134" s="48"/>
      <c r="G134" s="48"/>
      <c r="H134" s="48"/>
      <c r="I134" s="48"/>
    </row>
    <row r="135" spans="1:9" ht="25.5">
      <c r="A135" s="100" t="s">
        <v>1</v>
      </c>
      <c r="B135" s="92" t="s">
        <v>6</v>
      </c>
      <c r="C135" s="48">
        <v>493.4</v>
      </c>
      <c r="D135" s="48">
        <v>555</v>
      </c>
      <c r="E135" s="48">
        <v>593.39</v>
      </c>
      <c r="F135" s="48">
        <v>623.06</v>
      </c>
      <c r="G135" s="69">
        <v>652.73</v>
      </c>
      <c r="H135" s="69">
        <v>672.31</v>
      </c>
      <c r="I135" s="71">
        <v>685.365</v>
      </c>
    </row>
    <row r="136" spans="1:9" ht="25.5">
      <c r="A136" s="100" t="s">
        <v>13</v>
      </c>
      <c r="B136" s="92" t="s">
        <v>4</v>
      </c>
      <c r="C136" s="70">
        <v>114.5</v>
      </c>
      <c r="D136" s="70">
        <f>D135/1.132/C135*100</f>
        <v>99.36819730692493</v>
      </c>
      <c r="E136" s="70">
        <f>E135/1.135/D135*100</f>
        <v>94.20010318688732</v>
      </c>
      <c r="F136" s="70">
        <f>F135/1.046/E135*100</f>
        <v>100.382489733858</v>
      </c>
      <c r="G136" s="70">
        <f>G135/1.058/F135*100</f>
        <v>99.01888581248825</v>
      </c>
      <c r="H136" s="70">
        <f>H135/1.048/G135*100</f>
        <v>98.28216499510043</v>
      </c>
      <c r="I136" s="70">
        <f>I135/1.04/H135*100</f>
        <v>98.02097361221873</v>
      </c>
    </row>
    <row r="137" spans="1:9" ht="23.25" customHeight="1">
      <c r="A137" s="154" t="s">
        <v>102</v>
      </c>
      <c r="B137" s="154"/>
      <c r="C137" s="154"/>
      <c r="D137" s="154"/>
      <c r="E137" s="154"/>
      <c r="F137" s="154"/>
      <c r="G137" s="154"/>
      <c r="H137" s="154"/>
      <c r="I137" s="154"/>
    </row>
    <row r="138" spans="1:9" ht="31.5">
      <c r="A138" s="103" t="s">
        <v>16</v>
      </c>
      <c r="B138" s="72" t="s">
        <v>7</v>
      </c>
      <c r="C138" s="41">
        <v>0.08</v>
      </c>
      <c r="D138" s="41">
        <v>0.229</v>
      </c>
      <c r="E138" s="41">
        <v>0.037</v>
      </c>
      <c r="F138" s="41">
        <v>0.039</v>
      </c>
      <c r="G138" s="41">
        <v>0.041</v>
      </c>
      <c r="H138" s="41">
        <v>0.042</v>
      </c>
      <c r="I138" s="41">
        <v>0.043</v>
      </c>
    </row>
    <row r="139" spans="1:9" ht="25.5">
      <c r="A139" s="101"/>
      <c r="B139" s="72" t="s">
        <v>4</v>
      </c>
      <c r="C139" s="70">
        <v>133.3</v>
      </c>
      <c r="D139" s="70">
        <f aca="true" t="shared" si="15" ref="D139:I139">D138/C138*100</f>
        <v>286.25</v>
      </c>
      <c r="E139" s="70">
        <f t="shared" si="15"/>
        <v>16.157205240174672</v>
      </c>
      <c r="F139" s="70">
        <f t="shared" si="15"/>
        <v>105.40540540540542</v>
      </c>
      <c r="G139" s="70">
        <f t="shared" si="15"/>
        <v>105.12820512820514</v>
      </c>
      <c r="H139" s="70">
        <f t="shared" si="15"/>
        <v>102.4390243902439</v>
      </c>
      <c r="I139" s="70">
        <f t="shared" si="15"/>
        <v>102.38095238095238</v>
      </c>
    </row>
    <row r="140" spans="1:9" ht="15.75">
      <c r="A140" s="101" t="s">
        <v>12</v>
      </c>
      <c r="B140" s="72"/>
      <c r="C140" s="41"/>
      <c r="D140" s="41"/>
      <c r="E140" s="41"/>
      <c r="F140" s="41"/>
      <c r="G140" s="41"/>
      <c r="H140" s="41"/>
      <c r="I140" s="41"/>
    </row>
    <row r="141" spans="1:9" ht="31.5">
      <c r="A141" s="101" t="s">
        <v>17</v>
      </c>
      <c r="B141" s="72" t="s">
        <v>7</v>
      </c>
      <c r="C141" s="41">
        <v>0.08</v>
      </c>
      <c r="D141" s="41">
        <v>0.089</v>
      </c>
      <c r="E141" s="41">
        <v>0.037</v>
      </c>
      <c r="F141" s="41">
        <v>0.039</v>
      </c>
      <c r="G141" s="41">
        <v>0.041</v>
      </c>
      <c r="H141" s="41">
        <v>0.042</v>
      </c>
      <c r="I141" s="41">
        <v>0.043</v>
      </c>
    </row>
    <row r="142" spans="1:9" ht="25.5">
      <c r="A142" s="101"/>
      <c r="B142" s="72" t="s">
        <v>4</v>
      </c>
      <c r="C142" s="70">
        <v>181.8</v>
      </c>
      <c r="D142" s="70">
        <v>111.3</v>
      </c>
      <c r="E142" s="70">
        <v>41.57</v>
      </c>
      <c r="F142" s="70">
        <v>105.41</v>
      </c>
      <c r="G142" s="70">
        <f>G141/F141*100</f>
        <v>105.12820512820514</v>
      </c>
      <c r="H142" s="70">
        <f>H141/G141*100</f>
        <v>102.4390243902439</v>
      </c>
      <c r="I142" s="70">
        <f>I141/H141*100</f>
        <v>102.38095238095238</v>
      </c>
    </row>
    <row r="143" spans="1:9" ht="31.5">
      <c r="A143" s="101" t="s">
        <v>18</v>
      </c>
      <c r="B143" s="72" t="s">
        <v>7</v>
      </c>
      <c r="C143" s="41"/>
      <c r="D143" s="41">
        <v>0.14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</row>
    <row r="144" spans="1:9" ht="25.5">
      <c r="A144" s="103"/>
      <c r="B144" s="72" t="s">
        <v>4</v>
      </c>
      <c r="C144" s="41"/>
      <c r="D144" s="41"/>
      <c r="E144" s="41"/>
      <c r="F144" s="41"/>
      <c r="G144" s="41"/>
      <c r="H144" s="41"/>
      <c r="I144" s="41"/>
    </row>
    <row r="145" spans="1:9" ht="27" customHeight="1">
      <c r="A145" s="103" t="s">
        <v>19</v>
      </c>
      <c r="B145" s="72" t="s">
        <v>7</v>
      </c>
      <c r="C145" s="41">
        <v>12.373</v>
      </c>
      <c r="D145" s="41">
        <v>12.556</v>
      </c>
      <c r="E145" s="41">
        <f>E148+E150+E152</f>
        <v>14.851</v>
      </c>
      <c r="F145" s="41">
        <v>15.585</v>
      </c>
      <c r="G145" s="41">
        <f>G148+G150+G152</f>
        <v>16.32</v>
      </c>
      <c r="H145" s="41">
        <f>H148+H150+H152</f>
        <v>16.805</v>
      </c>
      <c r="I145" s="41">
        <f>I148+I150+I152</f>
        <v>17.137999999999998</v>
      </c>
    </row>
    <row r="146" spans="1:9" ht="25.5">
      <c r="A146" s="101"/>
      <c r="B146" s="72" t="s">
        <v>4</v>
      </c>
      <c r="C146" s="70">
        <v>115.8</v>
      </c>
      <c r="D146" s="70">
        <v>101.5</v>
      </c>
      <c r="E146" s="70">
        <v>118.28</v>
      </c>
      <c r="F146" s="70">
        <v>104.94</v>
      </c>
      <c r="G146" s="70">
        <f>G145/F145*100</f>
        <v>104.71607314725698</v>
      </c>
      <c r="H146" s="70">
        <f>H145/G145*100</f>
        <v>102.97181372549021</v>
      </c>
      <c r="I146" s="70">
        <f>I145/H145*100</f>
        <v>101.98155310919368</v>
      </c>
    </row>
    <row r="147" spans="1:9" ht="15.75">
      <c r="A147" s="101" t="s">
        <v>12</v>
      </c>
      <c r="B147" s="72"/>
      <c r="C147" s="41"/>
      <c r="D147" s="41"/>
      <c r="E147" s="41"/>
      <c r="F147" s="41"/>
      <c r="G147" s="41"/>
      <c r="H147" s="41"/>
      <c r="I147" s="41"/>
    </row>
    <row r="148" spans="1:9" ht="31.5">
      <c r="A148" s="101" t="s">
        <v>17</v>
      </c>
      <c r="B148" s="72" t="s">
        <v>7</v>
      </c>
      <c r="C148" s="41">
        <v>0.09</v>
      </c>
      <c r="D148" s="41">
        <v>0.09</v>
      </c>
      <c r="E148" s="41">
        <v>0.16</v>
      </c>
      <c r="F148" s="41">
        <v>0.16</v>
      </c>
      <c r="G148" s="41">
        <v>0.16</v>
      </c>
      <c r="H148" s="41">
        <v>0.16</v>
      </c>
      <c r="I148" s="41">
        <v>0.17</v>
      </c>
    </row>
    <row r="149" spans="1:9" ht="31.5" customHeight="1">
      <c r="A149" s="101"/>
      <c r="B149" s="72" t="s">
        <v>4</v>
      </c>
      <c r="C149" s="70">
        <v>10.5</v>
      </c>
      <c r="D149" s="70">
        <v>100</v>
      </c>
      <c r="E149" s="70">
        <v>177.78</v>
      </c>
      <c r="F149" s="70">
        <v>100</v>
      </c>
      <c r="G149" s="70">
        <v>100</v>
      </c>
      <c r="H149" s="70">
        <f>H148/G148*100</f>
        <v>100</v>
      </c>
      <c r="I149" s="70">
        <f>I148/H148*100</f>
        <v>106.25</v>
      </c>
    </row>
    <row r="150" spans="1:9" ht="31.5">
      <c r="A150" s="101" t="s">
        <v>18</v>
      </c>
      <c r="B150" s="72" t="s">
        <v>7</v>
      </c>
      <c r="C150" s="41">
        <v>1.12</v>
      </c>
      <c r="D150" s="41">
        <v>1.129</v>
      </c>
      <c r="E150" s="41">
        <v>1.298</v>
      </c>
      <c r="F150" s="41">
        <v>1.362</v>
      </c>
      <c r="G150" s="41">
        <v>1.428</v>
      </c>
      <c r="H150" s="41">
        <v>1.471</v>
      </c>
      <c r="I150" s="41">
        <v>1.499</v>
      </c>
    </row>
    <row r="151" spans="1:9" ht="25.5">
      <c r="A151" s="101"/>
      <c r="B151" s="72" t="s">
        <v>4</v>
      </c>
      <c r="C151" s="70">
        <v>221.3</v>
      </c>
      <c r="D151" s="70">
        <v>100.8</v>
      </c>
      <c r="E151" s="70">
        <v>114.97</v>
      </c>
      <c r="F151" s="70">
        <v>104.93</v>
      </c>
      <c r="G151" s="70">
        <f>G150/F150*100</f>
        <v>104.84581497797356</v>
      </c>
      <c r="H151" s="70">
        <f>H150/G150*100</f>
        <v>103.01120448179273</v>
      </c>
      <c r="I151" s="70">
        <f>I150/H150*100</f>
        <v>101.9034670292318</v>
      </c>
    </row>
    <row r="152" spans="1:9" ht="15.75">
      <c r="A152" s="101" t="s">
        <v>20</v>
      </c>
      <c r="B152" s="72" t="s">
        <v>7</v>
      </c>
      <c r="C152" s="41">
        <v>11.163</v>
      </c>
      <c r="D152" s="41">
        <v>11.337</v>
      </c>
      <c r="E152" s="41">
        <v>13.393</v>
      </c>
      <c r="F152" s="41">
        <v>14.063</v>
      </c>
      <c r="G152" s="41">
        <v>14.732</v>
      </c>
      <c r="H152" s="41">
        <v>15.174</v>
      </c>
      <c r="I152" s="41">
        <v>15.469</v>
      </c>
    </row>
    <row r="153" spans="1:9" ht="25.5">
      <c r="A153" s="101"/>
      <c r="B153" s="72" t="s">
        <v>4</v>
      </c>
      <c r="C153" s="70">
        <v>119.7</v>
      </c>
      <c r="D153" s="70">
        <v>101.6</v>
      </c>
      <c r="E153" s="70">
        <v>118.13</v>
      </c>
      <c r="F153" s="70">
        <v>105</v>
      </c>
      <c r="G153" s="70">
        <f>G152/F152*100</f>
        <v>104.7571641897177</v>
      </c>
      <c r="H153" s="70">
        <f>H152/G152*100</f>
        <v>103.00027151778441</v>
      </c>
      <c r="I153" s="70">
        <f>I152/H152*100</f>
        <v>101.94411493343878</v>
      </c>
    </row>
    <row r="154" spans="1:9" ht="15.75">
      <c r="A154" s="103" t="s">
        <v>21</v>
      </c>
      <c r="B154" s="72" t="s">
        <v>7</v>
      </c>
      <c r="C154" s="41">
        <v>3.831</v>
      </c>
      <c r="D154" s="41">
        <v>3.83</v>
      </c>
      <c r="E154" s="41">
        <f>E157+E159+E161</f>
        <v>3.894</v>
      </c>
      <c r="F154" s="41">
        <v>4.089</v>
      </c>
      <c r="G154" s="41">
        <f>G157+G159+G161</f>
        <v>4.2829999999999995</v>
      </c>
      <c r="H154" s="41">
        <f>H157+H159+H161</f>
        <v>4.4110000000000005</v>
      </c>
      <c r="I154" s="41">
        <f>I157+I159+I161</f>
        <v>4.497</v>
      </c>
    </row>
    <row r="155" spans="1:9" ht="25.5">
      <c r="A155" s="101"/>
      <c r="B155" s="72" t="s">
        <v>4</v>
      </c>
      <c r="C155" s="70">
        <v>95</v>
      </c>
      <c r="D155" s="70">
        <v>100</v>
      </c>
      <c r="E155" s="70">
        <v>101.67</v>
      </c>
      <c r="F155" s="70">
        <v>105</v>
      </c>
      <c r="G155" s="70">
        <f>G154/F154*100</f>
        <v>104.74443629249204</v>
      </c>
      <c r="H155" s="70">
        <f>H154/G154*100</f>
        <v>102.98855942096662</v>
      </c>
      <c r="I155" s="70">
        <f>I154/H154*100</f>
        <v>101.94967127635455</v>
      </c>
    </row>
    <row r="156" spans="1:9" ht="15.75">
      <c r="A156" s="101" t="s">
        <v>12</v>
      </c>
      <c r="B156" s="72"/>
      <c r="C156" s="41"/>
      <c r="D156" s="41"/>
      <c r="E156" s="41"/>
      <c r="F156" s="41"/>
      <c r="G156" s="41"/>
      <c r="H156" s="41"/>
      <c r="I156" s="41"/>
    </row>
    <row r="157" spans="1:9" ht="31.5">
      <c r="A157" s="101" t="s">
        <v>17</v>
      </c>
      <c r="B157" s="72" t="s">
        <v>7</v>
      </c>
      <c r="C157" s="41">
        <v>0.001</v>
      </c>
      <c r="D157" s="41">
        <v>0.002</v>
      </c>
      <c r="E157" s="41">
        <v>0.002</v>
      </c>
      <c r="F157" s="41">
        <v>0.002</v>
      </c>
      <c r="G157" s="41">
        <v>0.002</v>
      </c>
      <c r="H157" s="41">
        <v>0.002</v>
      </c>
      <c r="I157" s="41">
        <v>0.002</v>
      </c>
    </row>
    <row r="158" spans="1:9" ht="25.5">
      <c r="A158" s="101"/>
      <c r="B158" s="72" t="s">
        <v>4</v>
      </c>
      <c r="C158" s="70">
        <v>0</v>
      </c>
      <c r="D158" s="70">
        <v>200</v>
      </c>
      <c r="E158" s="70">
        <v>100</v>
      </c>
      <c r="F158" s="70">
        <v>100</v>
      </c>
      <c r="G158" s="70">
        <v>100</v>
      </c>
      <c r="H158" s="70">
        <f>H157/G157*100</f>
        <v>100</v>
      </c>
      <c r="I158" s="70">
        <f>I157/H157*100</f>
        <v>100</v>
      </c>
    </row>
    <row r="159" spans="1:9" ht="31.5">
      <c r="A159" s="101" t="s">
        <v>18</v>
      </c>
      <c r="B159" s="72" t="s">
        <v>7</v>
      </c>
      <c r="C159" s="41">
        <v>0.161</v>
      </c>
      <c r="D159" s="41">
        <v>0.162</v>
      </c>
      <c r="E159" s="41">
        <v>0.179</v>
      </c>
      <c r="F159" s="41">
        <v>0.188</v>
      </c>
      <c r="G159" s="41">
        <v>0.197</v>
      </c>
      <c r="H159" s="41">
        <v>0.203</v>
      </c>
      <c r="I159" s="41">
        <v>0.207</v>
      </c>
    </row>
    <row r="160" spans="1:9" ht="25.5">
      <c r="A160" s="101"/>
      <c r="B160" s="72" t="s">
        <v>4</v>
      </c>
      <c r="C160" s="70">
        <v>71.6</v>
      </c>
      <c r="D160" s="70">
        <v>100.6</v>
      </c>
      <c r="E160" s="70">
        <v>110.49</v>
      </c>
      <c r="F160" s="70">
        <v>105.03</v>
      </c>
      <c r="G160" s="70">
        <f>G159/F159*100</f>
        <v>104.7872340425532</v>
      </c>
      <c r="H160" s="70">
        <f>H159/G159*100</f>
        <v>103.04568527918782</v>
      </c>
      <c r="I160" s="70">
        <f>I159/H159*100</f>
        <v>101.9704433497537</v>
      </c>
    </row>
    <row r="161" spans="1:9" ht="15.75">
      <c r="A161" s="101" t="s">
        <v>20</v>
      </c>
      <c r="B161" s="72" t="s">
        <v>7</v>
      </c>
      <c r="C161" s="41">
        <v>3.669</v>
      </c>
      <c r="D161" s="41">
        <v>3.666</v>
      </c>
      <c r="E161" s="41">
        <v>3.713</v>
      </c>
      <c r="F161" s="41">
        <v>3.899</v>
      </c>
      <c r="G161" s="41">
        <v>4.084</v>
      </c>
      <c r="H161" s="41">
        <v>4.206</v>
      </c>
      <c r="I161" s="41">
        <v>4.288</v>
      </c>
    </row>
    <row r="162" spans="1:9" ht="25.5">
      <c r="A162" s="101"/>
      <c r="B162" s="72" t="s">
        <v>4</v>
      </c>
      <c r="C162" s="70">
        <v>96.4</v>
      </c>
      <c r="D162" s="70">
        <v>99.9</v>
      </c>
      <c r="E162" s="70">
        <v>101.28</v>
      </c>
      <c r="F162" s="70">
        <v>105.01</v>
      </c>
      <c r="G162" s="70">
        <f>G161/F161*100</f>
        <v>104.74480636060528</v>
      </c>
      <c r="H162" s="70">
        <f>H161/G161*100</f>
        <v>102.98726738491678</v>
      </c>
      <c r="I162" s="70">
        <f>I161/H161*100</f>
        <v>101.94959581550167</v>
      </c>
    </row>
    <row r="163" spans="1:9" ht="31.5">
      <c r="A163" s="103" t="s">
        <v>182</v>
      </c>
      <c r="B163" s="72" t="s">
        <v>7</v>
      </c>
      <c r="C163" s="41">
        <v>0.751</v>
      </c>
      <c r="D163" s="41">
        <v>0.747</v>
      </c>
      <c r="E163" s="41">
        <f>E166+E168+E170</f>
        <v>0.737</v>
      </c>
      <c r="F163" s="41">
        <v>0.774</v>
      </c>
      <c r="G163" s="41">
        <f>G166+G168+G170</f>
        <v>0.811</v>
      </c>
      <c r="H163" s="41">
        <f>H166+H168+H170</f>
        <v>0.835</v>
      </c>
      <c r="I163" s="41">
        <f>I166+I168+I170</f>
        <v>0.853</v>
      </c>
    </row>
    <row r="164" spans="1:9" ht="25.5">
      <c r="A164" s="101"/>
      <c r="B164" s="72" t="s">
        <v>4</v>
      </c>
      <c r="C164" s="70">
        <v>102</v>
      </c>
      <c r="D164" s="70">
        <v>99.5</v>
      </c>
      <c r="E164" s="70">
        <v>98.66</v>
      </c>
      <c r="F164" s="70">
        <v>105.02</v>
      </c>
      <c r="G164" s="70">
        <f>G163/F163*100</f>
        <v>104.78036175710595</v>
      </c>
      <c r="H164" s="70">
        <f>H163/G163*100</f>
        <v>102.95930949445129</v>
      </c>
      <c r="I164" s="70">
        <f>I163/H163*100</f>
        <v>102.1556886227545</v>
      </c>
    </row>
    <row r="165" spans="1:9" ht="15" customHeight="1">
      <c r="A165" s="101" t="s">
        <v>12</v>
      </c>
      <c r="B165" s="72"/>
      <c r="C165" s="41"/>
      <c r="D165" s="41"/>
      <c r="E165" s="41"/>
      <c r="F165" s="41"/>
      <c r="G165" s="41"/>
      <c r="H165" s="41"/>
      <c r="I165" s="41"/>
    </row>
    <row r="166" spans="1:9" ht="15" customHeight="1">
      <c r="A166" s="101" t="s">
        <v>17</v>
      </c>
      <c r="B166" s="72" t="s">
        <v>7</v>
      </c>
      <c r="C166" s="41">
        <v>0.016</v>
      </c>
      <c r="D166" s="41">
        <v>0.009</v>
      </c>
      <c r="E166" s="41">
        <v>0.009</v>
      </c>
      <c r="F166" s="41">
        <v>0.009</v>
      </c>
      <c r="G166" s="41">
        <v>0.009</v>
      </c>
      <c r="H166" s="41">
        <v>0.009</v>
      </c>
      <c r="I166" s="41">
        <v>0.01</v>
      </c>
    </row>
    <row r="167" spans="1:9" ht="29.25" customHeight="1">
      <c r="A167" s="101"/>
      <c r="B167" s="72" t="s">
        <v>4</v>
      </c>
      <c r="C167" s="70">
        <v>145.5</v>
      </c>
      <c r="D167" s="70">
        <v>56.3</v>
      </c>
      <c r="E167" s="70">
        <v>100</v>
      </c>
      <c r="F167" s="70">
        <v>100</v>
      </c>
      <c r="G167" s="70">
        <v>100</v>
      </c>
      <c r="H167" s="70">
        <f>H166/G166*100</f>
        <v>100</v>
      </c>
      <c r="I167" s="70">
        <f>I166/H166*100</f>
        <v>111.11111111111111</v>
      </c>
    </row>
    <row r="168" spans="1:9" ht="15" customHeight="1">
      <c r="A168" s="101" t="s">
        <v>18</v>
      </c>
      <c r="B168" s="72" t="s">
        <v>7</v>
      </c>
      <c r="C168" s="41">
        <v>0.008</v>
      </c>
      <c r="D168" s="41">
        <v>0.006</v>
      </c>
      <c r="E168" s="41">
        <v>0.003</v>
      </c>
      <c r="F168" s="41">
        <v>0.004</v>
      </c>
      <c r="G168" s="41">
        <v>0.004</v>
      </c>
      <c r="H168" s="41">
        <v>0.004</v>
      </c>
      <c r="I168" s="41">
        <v>0.005</v>
      </c>
    </row>
    <row r="169" spans="1:9" ht="30" customHeight="1">
      <c r="A169" s="101"/>
      <c r="B169" s="72" t="s">
        <v>4</v>
      </c>
      <c r="C169" s="70">
        <v>36.4</v>
      </c>
      <c r="D169" s="70">
        <v>75</v>
      </c>
      <c r="E169" s="70">
        <v>50</v>
      </c>
      <c r="F169" s="70">
        <v>133.33</v>
      </c>
      <c r="G169" s="70">
        <v>100</v>
      </c>
      <c r="H169" s="70">
        <f>H168/G168*100</f>
        <v>100</v>
      </c>
      <c r="I169" s="70">
        <f>I168/H168*100</f>
        <v>125</v>
      </c>
    </row>
    <row r="170" spans="1:9" ht="15" customHeight="1">
      <c r="A170" s="101" t="s">
        <v>20</v>
      </c>
      <c r="B170" s="72" t="s">
        <v>7</v>
      </c>
      <c r="C170" s="41">
        <v>0.727</v>
      </c>
      <c r="D170" s="41">
        <v>0.732</v>
      </c>
      <c r="E170" s="41">
        <v>0.725</v>
      </c>
      <c r="F170" s="41">
        <v>0.761</v>
      </c>
      <c r="G170" s="41">
        <v>0.798</v>
      </c>
      <c r="H170" s="41">
        <v>0.822</v>
      </c>
      <c r="I170" s="41">
        <v>0.838</v>
      </c>
    </row>
    <row r="171" spans="1:9" ht="29.25" customHeight="1">
      <c r="A171" s="101"/>
      <c r="B171" s="72" t="s">
        <v>4</v>
      </c>
      <c r="C171" s="70">
        <v>103.4</v>
      </c>
      <c r="D171" s="70">
        <v>100.7</v>
      </c>
      <c r="E171" s="70">
        <v>99.04</v>
      </c>
      <c r="F171" s="70">
        <v>104.97</v>
      </c>
      <c r="G171" s="70">
        <f>G170/F170*100</f>
        <v>104.86202365308806</v>
      </c>
      <c r="H171" s="70">
        <f>H170/G170*100</f>
        <v>103.00751879699246</v>
      </c>
      <c r="I171" s="70">
        <f>I170/H170*100</f>
        <v>101.94647201946472</v>
      </c>
    </row>
    <row r="172" spans="1:9" ht="15.75">
      <c r="A172" s="103" t="s">
        <v>22</v>
      </c>
      <c r="B172" s="72" t="s">
        <v>7</v>
      </c>
      <c r="C172" s="41">
        <v>4.107</v>
      </c>
      <c r="D172" s="41">
        <v>4.179</v>
      </c>
      <c r="E172" s="41">
        <f>E175+E177+E179</f>
        <v>4.007</v>
      </c>
      <c r="F172" s="41">
        <v>4.208</v>
      </c>
      <c r="G172" s="41">
        <f>G175+G177+G179</f>
        <v>4.4079999999999995</v>
      </c>
      <c r="H172" s="41">
        <f>H175+H177+H179</f>
        <v>4.539</v>
      </c>
      <c r="I172" s="41">
        <f>I175+I177+I179</f>
        <v>4.6290000000000004</v>
      </c>
    </row>
    <row r="173" spans="1:9" ht="31.5" customHeight="1">
      <c r="A173" s="101"/>
      <c r="B173" s="72" t="s">
        <v>4</v>
      </c>
      <c r="C173" s="70">
        <v>93.6</v>
      </c>
      <c r="D173" s="70">
        <v>101.8</v>
      </c>
      <c r="E173" s="70">
        <v>95.88</v>
      </c>
      <c r="F173" s="70">
        <v>105.02</v>
      </c>
      <c r="G173" s="70">
        <f>G172/F172*100</f>
        <v>104.7528517110266</v>
      </c>
      <c r="H173" s="70">
        <f>H172/G172*100</f>
        <v>102.97186932849365</v>
      </c>
      <c r="I173" s="70">
        <f>I172/H172*100</f>
        <v>101.98281559814939</v>
      </c>
    </row>
    <row r="174" spans="1:9" ht="15" customHeight="1">
      <c r="A174" s="101" t="s">
        <v>12</v>
      </c>
      <c r="B174" s="72"/>
      <c r="C174" s="41"/>
      <c r="D174" s="41"/>
      <c r="E174" s="41"/>
      <c r="F174" s="41"/>
      <c r="G174" s="41"/>
      <c r="H174" s="41"/>
      <c r="I174" s="41"/>
    </row>
    <row r="175" spans="1:9" ht="15" customHeight="1">
      <c r="A175" s="101" t="s">
        <v>17</v>
      </c>
      <c r="B175" s="72" t="s">
        <v>7</v>
      </c>
      <c r="C175" s="41">
        <v>0.017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</row>
    <row r="176" spans="1:9" ht="28.5" customHeight="1">
      <c r="A176" s="101"/>
      <c r="B176" s="72" t="s">
        <v>4</v>
      </c>
      <c r="C176" s="70">
        <v>16.3</v>
      </c>
      <c r="D176" s="70">
        <v>0</v>
      </c>
      <c r="E176" s="70">
        <v>0</v>
      </c>
      <c r="F176" s="70">
        <v>0</v>
      </c>
      <c r="G176" s="70">
        <v>0</v>
      </c>
      <c r="H176" s="70">
        <v>0</v>
      </c>
      <c r="I176" s="70">
        <v>0</v>
      </c>
    </row>
    <row r="177" spans="1:9" ht="15" customHeight="1">
      <c r="A177" s="101" t="s">
        <v>18</v>
      </c>
      <c r="B177" s="72" t="s">
        <v>7</v>
      </c>
      <c r="C177" s="41">
        <v>0.07</v>
      </c>
      <c r="D177" s="41">
        <v>0.086</v>
      </c>
      <c r="E177" s="41">
        <v>0.175</v>
      </c>
      <c r="F177" s="41">
        <v>0.184</v>
      </c>
      <c r="G177" s="41">
        <v>0.193</v>
      </c>
      <c r="H177" s="41">
        <v>0.199</v>
      </c>
      <c r="I177" s="41">
        <v>0.203</v>
      </c>
    </row>
    <row r="178" spans="1:9" ht="28.5" customHeight="1">
      <c r="A178" s="101"/>
      <c r="B178" s="72" t="s">
        <v>4</v>
      </c>
      <c r="C178" s="70">
        <v>23.6</v>
      </c>
      <c r="D178" s="70">
        <v>122.9</v>
      </c>
      <c r="E178" s="70">
        <v>203.49</v>
      </c>
      <c r="F178" s="70">
        <v>105.14</v>
      </c>
      <c r="G178" s="70">
        <f>G177/F177*100</f>
        <v>104.8913043478261</v>
      </c>
      <c r="H178" s="70">
        <f>H177/G177*100</f>
        <v>103.10880829015545</v>
      </c>
      <c r="I178" s="70">
        <f>I177/H177*100</f>
        <v>102.01005025125629</v>
      </c>
    </row>
    <row r="179" spans="1:9" ht="15" customHeight="1">
      <c r="A179" s="101" t="s">
        <v>20</v>
      </c>
      <c r="B179" s="72" t="s">
        <v>7</v>
      </c>
      <c r="C179" s="41">
        <v>4.02</v>
      </c>
      <c r="D179" s="41">
        <v>4.093</v>
      </c>
      <c r="E179" s="41">
        <v>3.832</v>
      </c>
      <c r="F179" s="41">
        <v>4.024</v>
      </c>
      <c r="G179" s="41">
        <v>4.215</v>
      </c>
      <c r="H179" s="41">
        <v>4.34</v>
      </c>
      <c r="I179" s="41">
        <v>4.426</v>
      </c>
    </row>
    <row r="180" spans="1:9" ht="31.5" customHeight="1">
      <c r="A180" s="101"/>
      <c r="B180" s="72" t="s">
        <v>4</v>
      </c>
      <c r="C180" s="70">
        <v>100.8</v>
      </c>
      <c r="D180" s="70">
        <v>101.8</v>
      </c>
      <c r="E180" s="70">
        <v>93.62</v>
      </c>
      <c r="F180" s="70">
        <v>105.01</v>
      </c>
      <c r="G180" s="70">
        <f>G179/F179*100</f>
        <v>104.7465208747515</v>
      </c>
      <c r="H180" s="70">
        <f>H179/G179*100</f>
        <v>102.96559905100831</v>
      </c>
      <c r="I180" s="70">
        <f>I179/H179*100</f>
        <v>101.9815668202765</v>
      </c>
    </row>
    <row r="181" spans="1:9" ht="18.75" customHeight="1">
      <c r="A181" s="103" t="s">
        <v>23</v>
      </c>
      <c r="B181" s="72" t="s">
        <v>33</v>
      </c>
      <c r="C181" s="41">
        <v>0.479</v>
      </c>
      <c r="D181" s="41">
        <v>0.537</v>
      </c>
      <c r="E181" s="41">
        <f>E184+E186+E188</f>
        <v>0.466</v>
      </c>
      <c r="F181" s="41">
        <v>0.498</v>
      </c>
      <c r="G181" s="41">
        <f>G184+G186+G188</f>
        <v>0.531</v>
      </c>
      <c r="H181" s="41">
        <f>H184+H186+H188</f>
        <v>0.545</v>
      </c>
      <c r="I181" s="41">
        <f>I184+I186+I188</f>
        <v>0.555</v>
      </c>
    </row>
    <row r="182" spans="1:9" ht="25.5">
      <c r="A182" s="101"/>
      <c r="B182" s="72" t="s">
        <v>4</v>
      </c>
      <c r="C182" s="70">
        <v>93.6</v>
      </c>
      <c r="D182" s="70">
        <v>112.1</v>
      </c>
      <c r="E182" s="70">
        <v>86.78</v>
      </c>
      <c r="F182" s="70">
        <v>106.87</v>
      </c>
      <c r="G182" s="70">
        <f>G181/F181*100</f>
        <v>106.6265060240964</v>
      </c>
      <c r="H182" s="70">
        <f>H181/G181*100</f>
        <v>102.63653483992468</v>
      </c>
      <c r="I182" s="70">
        <f>I181/H181*100</f>
        <v>101.83486238532112</v>
      </c>
    </row>
    <row r="183" spans="1:9" ht="15" customHeight="1">
      <c r="A183" s="101" t="s">
        <v>12</v>
      </c>
      <c r="B183" s="72"/>
      <c r="C183" s="41"/>
      <c r="D183" s="41"/>
      <c r="E183" s="41"/>
      <c r="F183" s="41"/>
      <c r="G183" s="41"/>
      <c r="H183" s="41"/>
      <c r="I183" s="41"/>
    </row>
    <row r="184" spans="1:9" ht="15" customHeight="1">
      <c r="A184" s="101" t="s">
        <v>17</v>
      </c>
      <c r="B184" s="72" t="s">
        <v>33</v>
      </c>
      <c r="C184" s="41">
        <v>0</v>
      </c>
      <c r="D184" s="41">
        <v>0</v>
      </c>
      <c r="E184" s="41">
        <v>0</v>
      </c>
      <c r="F184" s="41">
        <v>0.01</v>
      </c>
      <c r="G184" s="41">
        <v>0.02</v>
      </c>
      <c r="H184" s="41">
        <v>0.02</v>
      </c>
      <c r="I184" s="41">
        <v>0.02</v>
      </c>
    </row>
    <row r="185" spans="1:9" ht="28.5" customHeight="1">
      <c r="A185" s="101"/>
      <c r="B185" s="72" t="s">
        <v>4</v>
      </c>
      <c r="C185" s="70">
        <v>0</v>
      </c>
      <c r="D185" s="70">
        <v>0</v>
      </c>
      <c r="E185" s="70">
        <v>0</v>
      </c>
      <c r="F185" s="70">
        <v>0</v>
      </c>
      <c r="G185" s="70">
        <v>200</v>
      </c>
      <c r="H185" s="70">
        <f>H184/G184*100</f>
        <v>100</v>
      </c>
      <c r="I185" s="70">
        <f>I184/H184*100</f>
        <v>100</v>
      </c>
    </row>
    <row r="186" spans="1:9" ht="15" customHeight="1">
      <c r="A186" s="101" t="s">
        <v>18</v>
      </c>
      <c r="B186" s="72" t="s">
        <v>33</v>
      </c>
      <c r="C186" s="41">
        <v>0.003</v>
      </c>
      <c r="D186" s="41">
        <v>0.004</v>
      </c>
      <c r="E186" s="41">
        <v>0.02</v>
      </c>
      <c r="F186" s="41">
        <v>0.02</v>
      </c>
      <c r="G186" s="41">
        <v>0.02</v>
      </c>
      <c r="H186" s="41">
        <v>0.02</v>
      </c>
      <c r="I186" s="41">
        <v>0.02</v>
      </c>
    </row>
    <row r="187" spans="1:9" ht="29.25" customHeight="1">
      <c r="A187" s="101"/>
      <c r="B187" s="72" t="s">
        <v>4</v>
      </c>
      <c r="C187" s="70">
        <v>25</v>
      </c>
      <c r="D187" s="70">
        <v>133.3</v>
      </c>
      <c r="E187" s="70">
        <v>500</v>
      </c>
      <c r="F187" s="70">
        <v>100</v>
      </c>
      <c r="G187" s="70">
        <v>100</v>
      </c>
      <c r="H187" s="70">
        <f>H186/G186*100</f>
        <v>100</v>
      </c>
      <c r="I187" s="70">
        <f>I186/H186*100</f>
        <v>100</v>
      </c>
    </row>
    <row r="188" spans="1:9" ht="15" customHeight="1">
      <c r="A188" s="101" t="s">
        <v>20</v>
      </c>
      <c r="B188" s="72" t="s">
        <v>33</v>
      </c>
      <c r="C188" s="41">
        <v>0.476</v>
      </c>
      <c r="D188" s="41">
        <v>0.533</v>
      </c>
      <c r="E188" s="41">
        <v>0.446</v>
      </c>
      <c r="F188" s="41">
        <v>0.468</v>
      </c>
      <c r="G188" s="41">
        <v>0.491</v>
      </c>
      <c r="H188" s="41">
        <v>0.505</v>
      </c>
      <c r="I188" s="41">
        <v>0.515</v>
      </c>
    </row>
    <row r="189" spans="1:9" ht="29.25" customHeight="1">
      <c r="A189" s="101"/>
      <c r="B189" s="72" t="s">
        <v>4</v>
      </c>
      <c r="C189" s="70">
        <v>95.2</v>
      </c>
      <c r="D189" s="70">
        <v>112</v>
      </c>
      <c r="E189" s="70">
        <v>83.68</v>
      </c>
      <c r="F189" s="70">
        <v>104.93</v>
      </c>
      <c r="G189" s="70">
        <f>G188/F188*100</f>
        <v>104.9145299145299</v>
      </c>
      <c r="H189" s="70">
        <f>H188/G188*100</f>
        <v>102.85132382892057</v>
      </c>
      <c r="I189" s="70">
        <f>I188/H188*100</f>
        <v>101.98019801980197</v>
      </c>
    </row>
    <row r="190" spans="1:9" s="74" customFormat="1" ht="19.5" customHeight="1">
      <c r="A190" s="150" t="s">
        <v>24</v>
      </c>
      <c r="B190" s="150"/>
      <c r="C190" s="150"/>
      <c r="D190" s="150"/>
      <c r="E190" s="150"/>
      <c r="F190" s="150"/>
      <c r="G190" s="150"/>
      <c r="H190" s="150"/>
      <c r="I190" s="150"/>
    </row>
    <row r="191" spans="1:9" ht="15" customHeight="1">
      <c r="A191" s="101" t="s">
        <v>25</v>
      </c>
      <c r="B191" s="39" t="s">
        <v>34</v>
      </c>
      <c r="C191" s="41">
        <v>0.067</v>
      </c>
      <c r="D191" s="41">
        <v>0.276</v>
      </c>
      <c r="E191" s="41">
        <v>0.036</v>
      </c>
      <c r="F191" s="41">
        <v>0.038</v>
      </c>
      <c r="G191" s="41">
        <v>0.039</v>
      </c>
      <c r="H191" s="41">
        <v>0.04</v>
      </c>
      <c r="I191" s="41">
        <v>0.041</v>
      </c>
    </row>
    <row r="192" spans="1:9" ht="15" customHeight="1">
      <c r="A192" s="101" t="s">
        <v>26</v>
      </c>
      <c r="B192" s="39" t="s">
        <v>34</v>
      </c>
      <c r="C192" s="41">
        <v>0.768</v>
      </c>
      <c r="D192" s="41">
        <v>0.774</v>
      </c>
      <c r="E192" s="41">
        <v>0.788</v>
      </c>
      <c r="F192" s="41">
        <v>0.827</v>
      </c>
      <c r="G192" s="41">
        <v>0.867</v>
      </c>
      <c r="H192" s="41">
        <v>0.893</v>
      </c>
      <c r="I192" s="41">
        <v>0.91</v>
      </c>
    </row>
    <row r="193" spans="1:9" ht="15" customHeight="1">
      <c r="A193" s="101" t="s">
        <v>27</v>
      </c>
      <c r="B193" s="39" t="s">
        <v>34</v>
      </c>
      <c r="C193" s="41">
        <v>0.137</v>
      </c>
      <c r="D193" s="41">
        <v>0.138</v>
      </c>
      <c r="E193" s="41">
        <v>0.137</v>
      </c>
      <c r="F193" s="41">
        <v>0.144</v>
      </c>
      <c r="G193" s="41">
        <v>0.151</v>
      </c>
      <c r="H193" s="41">
        <v>0.155</v>
      </c>
      <c r="I193" s="41">
        <v>0.159</v>
      </c>
    </row>
    <row r="194" spans="1:9" ht="19.5" customHeight="1">
      <c r="A194" s="150" t="s">
        <v>103</v>
      </c>
      <c r="B194" s="150"/>
      <c r="C194" s="150"/>
      <c r="D194" s="150"/>
      <c r="E194" s="150"/>
      <c r="F194" s="150"/>
      <c r="G194" s="150"/>
      <c r="H194" s="150"/>
      <c r="I194" s="150"/>
    </row>
    <row r="195" spans="1:9" ht="15" customHeight="1">
      <c r="A195" s="101" t="s">
        <v>28</v>
      </c>
      <c r="B195" s="39" t="s">
        <v>35</v>
      </c>
      <c r="C195" s="41">
        <v>2.152</v>
      </c>
      <c r="D195" s="41">
        <v>2.095</v>
      </c>
      <c r="E195" s="41">
        <v>2.25</v>
      </c>
      <c r="F195" s="41">
        <v>2.36</v>
      </c>
      <c r="G195" s="41">
        <v>2.475</v>
      </c>
      <c r="H195" s="41">
        <v>2.549</v>
      </c>
      <c r="I195" s="41">
        <v>2.599</v>
      </c>
    </row>
    <row r="196" spans="1:9" ht="15" customHeight="1">
      <c r="A196" s="101" t="s">
        <v>29</v>
      </c>
      <c r="B196" s="39" t="s">
        <v>35</v>
      </c>
      <c r="C196" s="41">
        <v>1.107</v>
      </c>
      <c r="D196" s="41">
        <v>1.121</v>
      </c>
      <c r="E196" s="41">
        <v>1.067</v>
      </c>
      <c r="F196" s="41">
        <v>1.12</v>
      </c>
      <c r="G196" s="41">
        <v>1.174</v>
      </c>
      <c r="H196" s="41">
        <v>1.209</v>
      </c>
      <c r="I196" s="41">
        <v>1.233</v>
      </c>
    </row>
    <row r="197" spans="1:9" ht="15" customHeight="1">
      <c r="A197" s="101" t="s">
        <v>30</v>
      </c>
      <c r="B197" s="39" t="s">
        <v>35</v>
      </c>
      <c r="C197" s="41">
        <v>0.539</v>
      </c>
      <c r="D197" s="41">
        <v>0.521</v>
      </c>
      <c r="E197" s="138">
        <v>0.66</v>
      </c>
      <c r="F197" s="41">
        <v>0.693</v>
      </c>
      <c r="G197" s="41">
        <v>0.726</v>
      </c>
      <c r="H197" s="41">
        <v>0.748</v>
      </c>
      <c r="I197" s="41">
        <v>0.762</v>
      </c>
    </row>
    <row r="198" spans="1:9" ht="15" customHeight="1">
      <c r="A198" s="101" t="s">
        <v>31</v>
      </c>
      <c r="B198" s="39" t="s">
        <v>35</v>
      </c>
      <c r="C198" s="41">
        <v>2.896</v>
      </c>
      <c r="D198" s="41">
        <v>2.973</v>
      </c>
      <c r="E198" s="41">
        <v>2.561</v>
      </c>
      <c r="F198" s="41">
        <v>2.689</v>
      </c>
      <c r="G198" s="41">
        <v>2.817</v>
      </c>
      <c r="H198" s="41">
        <v>2.902</v>
      </c>
      <c r="I198" s="41">
        <v>2.958</v>
      </c>
    </row>
    <row r="199" spans="1:9" s="22" customFormat="1" ht="24.75" customHeight="1">
      <c r="A199" s="162" t="s">
        <v>109</v>
      </c>
      <c r="B199" s="162"/>
      <c r="C199" s="162"/>
      <c r="D199" s="162"/>
      <c r="E199" s="162"/>
      <c r="F199" s="162"/>
      <c r="G199" s="162"/>
      <c r="H199" s="162"/>
      <c r="I199" s="162"/>
    </row>
    <row r="200" spans="1:9" ht="23.25" customHeight="1">
      <c r="A200" s="157" t="s">
        <v>38</v>
      </c>
      <c r="B200" s="157"/>
      <c r="C200" s="157"/>
      <c r="D200" s="157"/>
      <c r="E200" s="157"/>
      <c r="F200" s="157"/>
      <c r="G200" s="157"/>
      <c r="H200" s="157"/>
      <c r="I200" s="157"/>
    </row>
    <row r="201" spans="1:9" ht="16.5" customHeight="1">
      <c r="A201" s="16" t="s">
        <v>1</v>
      </c>
      <c r="B201" s="39" t="s">
        <v>6</v>
      </c>
      <c r="C201" s="139">
        <f>C203+1.516+46.4+16.9+596.601</f>
        <v>934.6569999999999</v>
      </c>
      <c r="D201" s="140">
        <f>D203+7.602+1888.724+1.5+6.0813+5.217</f>
        <v>2322.1092999999996</v>
      </c>
      <c r="E201" s="139">
        <f>E203+7.888+59.594+3.09</f>
        <v>591.2660000000001</v>
      </c>
      <c r="F201" s="139">
        <f>F203+6.613+115.628</f>
        <v>1073.3106</v>
      </c>
      <c r="G201" s="139">
        <f>G203+2.47+48</f>
        <v>1578.9337</v>
      </c>
      <c r="H201" s="139">
        <f>H203+2.48+20</f>
        <v>1349.51</v>
      </c>
      <c r="I201" s="139">
        <f>I203+2.49</f>
        <v>558.091</v>
      </c>
    </row>
    <row r="202" spans="1:9" ht="25.5" customHeight="1">
      <c r="A202" s="16" t="s">
        <v>13</v>
      </c>
      <c r="B202" s="39" t="s">
        <v>4</v>
      </c>
      <c r="C202" s="141">
        <f>C201/1.06/428.1*100</f>
        <v>205.9686724579427</v>
      </c>
      <c r="D202" s="142">
        <f>D201/1.105/C201*100</f>
        <v>224.8371734326601</v>
      </c>
      <c r="E202" s="141">
        <f>E201/1.143/D201*100</f>
        <v>22.27686217715741</v>
      </c>
      <c r="F202" s="141">
        <f>F201/1.06/E201*100</f>
        <v>171.25239229235584</v>
      </c>
      <c r="G202" s="141">
        <f>G201/1.05/F201*100</f>
        <v>140.10356190951444</v>
      </c>
      <c r="H202" s="141">
        <f>H201/1.045/G201*100</f>
        <v>81.78919287026447</v>
      </c>
      <c r="I202" s="141">
        <f>I201/1.042/H201*100</f>
        <v>39.688180842663435</v>
      </c>
    </row>
    <row r="203" spans="1:9" ht="33" customHeight="1">
      <c r="A203" s="104" t="s">
        <v>123</v>
      </c>
      <c r="B203" s="43"/>
      <c r="C203" s="139">
        <f>C205+C214+C217+C220+C223+C226+C229+C232+C235+14.174+3.838</f>
        <v>273.23999999999995</v>
      </c>
      <c r="D203" s="140">
        <f>D205+D208+D211+D214+D217+D220+D223+D226+D229+D232+D235+28.88+5.014</f>
        <v>412.98499999999996</v>
      </c>
      <c r="E203" s="139">
        <f>E205+E214+E217+E220+E223+E226+E229+E232+E235+7.511+5.285</f>
        <v>520.694</v>
      </c>
      <c r="F203" s="139">
        <f>F205+F214+F217+F220+F223+F226+F229+F232+F235+10+2.9</f>
        <v>951.0695999999999</v>
      </c>
      <c r="G203" s="139">
        <f>G205+G214+G217+G220+G223+G226+G229+G232+G235+12+3.5</f>
        <v>1528.4637</v>
      </c>
      <c r="H203" s="139">
        <f>H205+H214+H217+H220+H223+H226+H229+H232+H235+15+3.8</f>
        <v>1327.03</v>
      </c>
      <c r="I203" s="139">
        <f>I205+I214+I217+I220+I223+I226+I229+I232+I235+18+4.1</f>
        <v>555.601</v>
      </c>
    </row>
    <row r="204" spans="1:9" s="13" customFormat="1" ht="19.5" customHeight="1">
      <c r="A204" s="161" t="s">
        <v>128</v>
      </c>
      <c r="B204" s="161"/>
      <c r="C204" s="161"/>
      <c r="D204" s="161"/>
      <c r="E204" s="161"/>
      <c r="F204" s="161"/>
      <c r="G204" s="161"/>
      <c r="H204" s="161"/>
      <c r="I204" s="161"/>
    </row>
    <row r="205" spans="1:9" ht="25.5">
      <c r="A205" s="105" t="s">
        <v>1</v>
      </c>
      <c r="B205" s="43" t="s">
        <v>6</v>
      </c>
      <c r="C205" s="117">
        <v>0</v>
      </c>
      <c r="D205" s="118">
        <v>0</v>
      </c>
      <c r="E205" s="117">
        <v>0</v>
      </c>
      <c r="F205" s="117">
        <v>0</v>
      </c>
      <c r="G205" s="117">
        <v>0</v>
      </c>
      <c r="H205" s="117">
        <v>0</v>
      </c>
      <c r="I205" s="119">
        <v>0</v>
      </c>
    </row>
    <row r="206" spans="1:9" ht="27.75" customHeight="1">
      <c r="A206" s="105" t="s">
        <v>13</v>
      </c>
      <c r="B206" s="43" t="s">
        <v>4</v>
      </c>
      <c r="C206" s="120"/>
      <c r="D206" s="121"/>
      <c r="E206" s="120"/>
      <c r="F206" s="120"/>
      <c r="G206" s="120"/>
      <c r="H206" s="120"/>
      <c r="I206" s="119"/>
    </row>
    <row r="207" spans="1:9" ht="19.5" customHeight="1">
      <c r="A207" s="161" t="s">
        <v>129</v>
      </c>
      <c r="B207" s="161"/>
      <c r="C207" s="161"/>
      <c r="D207" s="161"/>
      <c r="E207" s="161"/>
      <c r="F207" s="161"/>
      <c r="G207" s="161"/>
      <c r="H207" s="161"/>
      <c r="I207" s="161"/>
    </row>
    <row r="208" spans="1:9" ht="25.5">
      <c r="A208" s="105" t="s">
        <v>1</v>
      </c>
      <c r="B208" s="43" t="s">
        <v>6</v>
      </c>
      <c r="C208" s="117">
        <v>0</v>
      </c>
      <c r="D208" s="118">
        <v>0</v>
      </c>
      <c r="E208" s="117">
        <v>0</v>
      </c>
      <c r="F208" s="117">
        <v>0</v>
      </c>
      <c r="G208" s="117">
        <v>0</v>
      </c>
      <c r="H208" s="117">
        <v>0</v>
      </c>
      <c r="I208" s="122">
        <v>0</v>
      </c>
    </row>
    <row r="209" spans="1:9" ht="26.25" customHeight="1">
      <c r="A209" s="105" t="s">
        <v>13</v>
      </c>
      <c r="B209" s="43" t="s">
        <v>4</v>
      </c>
      <c r="C209" s="120"/>
      <c r="D209" s="121"/>
      <c r="E209" s="120"/>
      <c r="F209" s="120"/>
      <c r="G209" s="120"/>
      <c r="H209" s="120"/>
      <c r="I209" s="119"/>
    </row>
    <row r="210" spans="1:9" s="13" customFormat="1" ht="19.5" customHeight="1">
      <c r="A210" s="161" t="s">
        <v>130</v>
      </c>
      <c r="B210" s="161"/>
      <c r="C210" s="161"/>
      <c r="D210" s="161"/>
      <c r="E210" s="161"/>
      <c r="F210" s="161"/>
      <c r="G210" s="161"/>
      <c r="H210" s="161"/>
      <c r="I210" s="161"/>
    </row>
    <row r="211" spans="1:9" ht="25.5">
      <c r="A211" s="105" t="s">
        <v>1</v>
      </c>
      <c r="B211" s="43" t="s">
        <v>6</v>
      </c>
      <c r="C211" s="117">
        <v>0</v>
      </c>
      <c r="D211" s="118">
        <v>0</v>
      </c>
      <c r="E211" s="117">
        <v>0</v>
      </c>
      <c r="F211" s="117">
        <v>0</v>
      </c>
      <c r="G211" s="117">
        <v>0</v>
      </c>
      <c r="H211" s="117">
        <v>0</v>
      </c>
      <c r="I211" s="122">
        <v>0</v>
      </c>
    </row>
    <row r="212" spans="1:9" ht="24.75" customHeight="1">
      <c r="A212" s="105" t="s">
        <v>13</v>
      </c>
      <c r="B212" s="43" t="s">
        <v>4</v>
      </c>
      <c r="C212" s="120"/>
      <c r="D212" s="121"/>
      <c r="E212" s="120"/>
      <c r="F212" s="120"/>
      <c r="G212" s="120"/>
      <c r="H212" s="120"/>
      <c r="I212" s="119"/>
    </row>
    <row r="213" spans="1:9" s="13" customFormat="1" ht="19.5" customHeight="1">
      <c r="A213" s="161" t="s">
        <v>131</v>
      </c>
      <c r="B213" s="161"/>
      <c r="C213" s="161"/>
      <c r="D213" s="161"/>
      <c r="E213" s="161"/>
      <c r="F213" s="161"/>
      <c r="G213" s="161"/>
      <c r="H213" s="161"/>
      <c r="I213" s="161"/>
    </row>
    <row r="214" spans="1:9" ht="25.5">
      <c r="A214" s="105" t="s">
        <v>1</v>
      </c>
      <c r="B214" s="43" t="s">
        <v>6</v>
      </c>
      <c r="C214" s="123">
        <v>7.139</v>
      </c>
      <c r="D214" s="124">
        <v>0.367</v>
      </c>
      <c r="E214" s="123">
        <v>1.682</v>
      </c>
      <c r="F214" s="123">
        <v>6</v>
      </c>
      <c r="G214" s="123">
        <v>10</v>
      </c>
      <c r="H214" s="123">
        <v>7</v>
      </c>
      <c r="I214" s="123">
        <v>8</v>
      </c>
    </row>
    <row r="215" spans="1:9" ht="27" customHeight="1">
      <c r="A215" s="105" t="s">
        <v>13</v>
      </c>
      <c r="B215" s="43" t="s">
        <v>4</v>
      </c>
      <c r="C215" s="125">
        <f>C214/1.06/9.876*100</f>
        <v>68.19467051819926</v>
      </c>
      <c r="D215" s="126">
        <f>D214/1.05/C214*100</f>
        <v>4.895977161000274</v>
      </c>
      <c r="E215" s="125">
        <f>E214/1.143/D214*100</f>
        <v>400.9716769055094</v>
      </c>
      <c r="F215" s="125">
        <f>F214/1.06/E214*100</f>
        <v>336.5265968187019</v>
      </c>
      <c r="G215" s="125">
        <f>G214/1.05/F214*100</f>
        <v>158.73015873015873</v>
      </c>
      <c r="H215" s="125">
        <f>H214/1.045/G214*100</f>
        <v>66.98564593301435</v>
      </c>
      <c r="I215" s="125">
        <f>I214/1.042/H214*100</f>
        <v>109.67918837400603</v>
      </c>
    </row>
    <row r="216" spans="1:9" s="13" customFormat="1" ht="19.5" customHeight="1">
      <c r="A216" s="161" t="s">
        <v>132</v>
      </c>
      <c r="B216" s="161"/>
      <c r="C216" s="161"/>
      <c r="D216" s="161"/>
      <c r="E216" s="161"/>
      <c r="F216" s="161"/>
      <c r="G216" s="161"/>
      <c r="H216" s="161"/>
      <c r="I216" s="161"/>
    </row>
    <row r="217" spans="1:9" ht="25.5">
      <c r="A217" s="105" t="s">
        <v>1</v>
      </c>
      <c r="B217" s="43" t="s">
        <v>6</v>
      </c>
      <c r="C217" s="123">
        <v>15.968</v>
      </c>
      <c r="D217" s="124">
        <v>58.188</v>
      </c>
      <c r="E217" s="127">
        <v>74.462</v>
      </c>
      <c r="F217" s="123">
        <v>49.28</v>
      </c>
      <c r="G217" s="123">
        <v>50.3704</v>
      </c>
      <c r="H217" s="123">
        <v>73.1994</v>
      </c>
      <c r="I217" s="123">
        <v>112.806</v>
      </c>
    </row>
    <row r="218" spans="1:9" ht="25.5" customHeight="1">
      <c r="A218" s="105" t="s">
        <v>13</v>
      </c>
      <c r="B218" s="43" t="s">
        <v>4</v>
      </c>
      <c r="C218" s="125">
        <f>C217/1.06/12.291*100</f>
        <v>122.56245174026705</v>
      </c>
      <c r="D218" s="126">
        <f>D217/1.05/C217*100</f>
        <v>347.0512453478385</v>
      </c>
      <c r="E218" s="125">
        <f>E217/1.143/D217*100</f>
        <v>111.95797541874255</v>
      </c>
      <c r="F218" s="125">
        <f>F217/1.06/E217*100</f>
        <v>62.435290534414655</v>
      </c>
      <c r="G218" s="125">
        <f>G217/1.05/F217*100</f>
        <v>97.34539270253555</v>
      </c>
      <c r="H218" s="125">
        <f>H217/1.045/G217*100</f>
        <v>139.06435670011103</v>
      </c>
      <c r="I218" s="125">
        <f>I217/1.042/H217*100</f>
        <v>147.8961809557641</v>
      </c>
    </row>
    <row r="219" spans="1:9" s="13" customFormat="1" ht="19.5" customHeight="1">
      <c r="A219" s="161" t="s">
        <v>133</v>
      </c>
      <c r="B219" s="161"/>
      <c r="C219" s="161"/>
      <c r="D219" s="161"/>
      <c r="E219" s="161"/>
      <c r="F219" s="161"/>
      <c r="G219" s="161"/>
      <c r="H219" s="161"/>
      <c r="I219" s="161"/>
    </row>
    <row r="220" spans="1:9" ht="25.5">
      <c r="A220" s="105" t="s">
        <v>1</v>
      </c>
      <c r="B220" s="43" t="s">
        <v>6</v>
      </c>
      <c r="C220" s="123">
        <v>0</v>
      </c>
      <c r="D220" s="124">
        <v>0</v>
      </c>
      <c r="E220" s="127">
        <v>0</v>
      </c>
      <c r="F220" s="127">
        <v>0</v>
      </c>
      <c r="G220" s="127">
        <v>0</v>
      </c>
      <c r="H220" s="124">
        <v>0</v>
      </c>
      <c r="I220" s="124">
        <v>0</v>
      </c>
    </row>
    <row r="221" spans="1:9" ht="27" customHeight="1">
      <c r="A221" s="105" t="s">
        <v>13</v>
      </c>
      <c r="B221" s="43" t="s">
        <v>4</v>
      </c>
      <c r="C221" s="125"/>
      <c r="D221" s="126"/>
      <c r="E221" s="125"/>
      <c r="F221" s="125"/>
      <c r="G221" s="125"/>
      <c r="H221" s="125"/>
      <c r="I221" s="125"/>
    </row>
    <row r="222" spans="1:9" s="13" customFormat="1" ht="19.5" customHeight="1">
      <c r="A222" s="161" t="s">
        <v>134</v>
      </c>
      <c r="B222" s="161"/>
      <c r="C222" s="161"/>
      <c r="D222" s="161"/>
      <c r="E222" s="161"/>
      <c r="F222" s="161"/>
      <c r="G222" s="161"/>
      <c r="H222" s="161"/>
      <c r="I222" s="161"/>
    </row>
    <row r="223" spans="1:9" ht="25.5">
      <c r="A223" s="105" t="s">
        <v>1</v>
      </c>
      <c r="B223" s="43" t="s">
        <v>6</v>
      </c>
      <c r="C223" s="123">
        <v>0</v>
      </c>
      <c r="D223" s="124">
        <v>0</v>
      </c>
      <c r="E223" s="127">
        <v>6.157</v>
      </c>
      <c r="F223" s="123">
        <v>3</v>
      </c>
      <c r="G223" s="123">
        <v>3.3</v>
      </c>
      <c r="H223" s="123">
        <v>3.63</v>
      </c>
      <c r="I223" s="123">
        <v>3.993</v>
      </c>
    </row>
    <row r="224" spans="1:9" ht="27.75" customHeight="1">
      <c r="A224" s="105" t="s">
        <v>13</v>
      </c>
      <c r="B224" s="43" t="s">
        <v>4</v>
      </c>
      <c r="C224" s="125"/>
      <c r="D224" s="126"/>
      <c r="E224" s="125"/>
      <c r="F224" s="125">
        <f>F223/1.06/E223*100</f>
        <v>45.967007946163434</v>
      </c>
      <c r="G224" s="125">
        <f>G223/1.05/F223*100</f>
        <v>104.76190476190474</v>
      </c>
      <c r="H224" s="125">
        <f>H223/1.045/G223*100</f>
        <v>105.26315789473686</v>
      </c>
      <c r="I224" s="125">
        <f>I223/1.042/H223*100</f>
        <v>105.56621880998081</v>
      </c>
    </row>
    <row r="225" spans="1:9" s="13" customFormat="1" ht="19.5" customHeight="1">
      <c r="A225" s="161" t="s">
        <v>135</v>
      </c>
      <c r="B225" s="161"/>
      <c r="C225" s="161"/>
      <c r="D225" s="161"/>
      <c r="E225" s="161"/>
      <c r="F225" s="161"/>
      <c r="G225" s="161"/>
      <c r="H225" s="161"/>
      <c r="I225" s="161"/>
    </row>
    <row r="226" spans="1:9" ht="25.5">
      <c r="A226" s="105" t="s">
        <v>1</v>
      </c>
      <c r="B226" s="43" t="s">
        <v>6</v>
      </c>
      <c r="C226" s="128">
        <f>145.926</f>
        <v>145.926</v>
      </c>
      <c r="D226" s="129">
        <f>247.561</f>
        <v>247.561</v>
      </c>
      <c r="E226" s="130">
        <v>313.385</v>
      </c>
      <c r="F226" s="130">
        <v>802.2456</v>
      </c>
      <c r="G226" s="130">
        <v>1302.0893</v>
      </c>
      <c r="H226" s="130">
        <v>1147.1096</v>
      </c>
      <c r="I226" s="130">
        <v>371.05</v>
      </c>
    </row>
    <row r="227" spans="1:9" ht="27" customHeight="1">
      <c r="A227" s="105" t="s">
        <v>13</v>
      </c>
      <c r="B227" s="43" t="s">
        <v>4</v>
      </c>
      <c r="C227" s="125">
        <f>C226/1.06/230.945*100</f>
        <v>59.60988016014595</v>
      </c>
      <c r="D227" s="126">
        <f>D226/1.05/C226*100</f>
        <v>161.56982371365004</v>
      </c>
      <c r="E227" s="125">
        <f>E226/1.143/D226*100</f>
        <v>110.75153307655489</v>
      </c>
      <c r="F227" s="125">
        <f>F226/1.06/E226*100</f>
        <v>241.50341327699576</v>
      </c>
      <c r="G227" s="125">
        <f>G226/1.05/F226*100</f>
        <v>154.5767340598749</v>
      </c>
      <c r="H227" s="125">
        <f>H226/1.045/G226*100</f>
        <v>84.30393644162251</v>
      </c>
      <c r="I227" s="125">
        <f>I226/1.042/H226*100</f>
        <v>31.042722500450758</v>
      </c>
    </row>
    <row r="228" spans="1:9" s="13" customFormat="1" ht="19.5" customHeight="1">
      <c r="A228" s="161" t="s">
        <v>136</v>
      </c>
      <c r="B228" s="161"/>
      <c r="C228" s="161"/>
      <c r="D228" s="161"/>
      <c r="E228" s="161"/>
      <c r="F228" s="161"/>
      <c r="G228" s="161"/>
      <c r="H228" s="161"/>
      <c r="I228" s="161"/>
    </row>
    <row r="229" spans="1:9" ht="25.5">
      <c r="A229" s="105" t="s">
        <v>1</v>
      </c>
      <c r="B229" s="43" t="s">
        <v>6</v>
      </c>
      <c r="C229" s="123">
        <v>20.17</v>
      </c>
      <c r="D229" s="127">
        <v>28.359</v>
      </c>
      <c r="E229" s="127">
        <v>65.18</v>
      </c>
      <c r="F229" s="127">
        <v>42</v>
      </c>
      <c r="G229" s="127">
        <v>0.6</v>
      </c>
      <c r="H229" s="127">
        <v>0.8</v>
      </c>
      <c r="I229" s="127">
        <v>0.8</v>
      </c>
    </row>
    <row r="230" spans="1:9" ht="27.75" customHeight="1">
      <c r="A230" s="105" t="s">
        <v>13</v>
      </c>
      <c r="B230" s="43" t="s">
        <v>4</v>
      </c>
      <c r="C230" s="125">
        <f>C229/1.06/2.885*100</f>
        <v>659.5598574278147</v>
      </c>
      <c r="D230" s="126">
        <f>D229/1.05/C229*100</f>
        <v>133.90466746936752</v>
      </c>
      <c r="E230" s="125">
        <f>E229/1.143/D229*100</f>
        <v>201.0838598981679</v>
      </c>
      <c r="F230" s="125">
        <f>F229/1.06/E229*100</f>
        <v>60.789569667741574</v>
      </c>
      <c r="G230" s="125">
        <f>G229/1.05/F229*100</f>
        <v>1.3605442176870748</v>
      </c>
      <c r="H230" s="125">
        <f>H229/1.045/G229*100</f>
        <v>127.59170653907499</v>
      </c>
      <c r="I230" s="125">
        <f>I229/1.042/H229*100</f>
        <v>95.96928982725528</v>
      </c>
    </row>
    <row r="231" spans="1:9" s="13" customFormat="1" ht="19.5" customHeight="1">
      <c r="A231" s="161" t="s">
        <v>137</v>
      </c>
      <c r="B231" s="161"/>
      <c r="C231" s="161"/>
      <c r="D231" s="161"/>
      <c r="E231" s="161"/>
      <c r="F231" s="161"/>
      <c r="G231" s="161"/>
      <c r="H231" s="161"/>
      <c r="I231" s="161"/>
    </row>
    <row r="232" spans="1:9" ht="25.5">
      <c r="A232" s="105" t="s">
        <v>1</v>
      </c>
      <c r="B232" s="43" t="s">
        <v>6</v>
      </c>
      <c r="C232" s="123">
        <v>32.415</v>
      </c>
      <c r="D232" s="127">
        <v>27.404</v>
      </c>
      <c r="E232" s="127">
        <v>24.683</v>
      </c>
      <c r="F232" s="127">
        <v>16.029</v>
      </c>
      <c r="G232" s="127">
        <v>129.204</v>
      </c>
      <c r="H232" s="127">
        <v>61.991</v>
      </c>
      <c r="I232" s="127">
        <v>20.852</v>
      </c>
    </row>
    <row r="233" spans="1:9" ht="27" customHeight="1">
      <c r="A233" s="105" t="s">
        <v>13</v>
      </c>
      <c r="B233" s="43" t="s">
        <v>4</v>
      </c>
      <c r="C233" s="125">
        <f>C232/1.06/30.509*100</f>
        <v>100.23333665228387</v>
      </c>
      <c r="D233" s="126">
        <f>D232/1.05/C232*100</f>
        <v>80.51534048757556</v>
      </c>
      <c r="E233" s="125">
        <f>E232/1.143/D232*100</f>
        <v>78.80209325023979</v>
      </c>
      <c r="F233" s="125">
        <f>F232/1.06/E232*100</f>
        <v>61.263615092199274</v>
      </c>
      <c r="G233" s="125">
        <f>G232/1.05/F232*100</f>
        <v>767.680008555921</v>
      </c>
      <c r="H233" s="125">
        <f>H232/1.045/G232*100</f>
        <v>45.91307629831775</v>
      </c>
      <c r="I233" s="125">
        <f>I232/1.042/H232*100</f>
        <v>32.28132521620763</v>
      </c>
    </row>
    <row r="234" spans="1:9" s="13" customFormat="1" ht="19.5" customHeight="1">
      <c r="A234" s="161" t="s">
        <v>138</v>
      </c>
      <c r="B234" s="161"/>
      <c r="C234" s="161"/>
      <c r="D234" s="161"/>
      <c r="E234" s="161"/>
      <c r="F234" s="161"/>
      <c r="G234" s="161"/>
      <c r="H234" s="161"/>
      <c r="I234" s="161"/>
    </row>
    <row r="235" spans="1:9" ht="25.5">
      <c r="A235" s="105" t="s">
        <v>1</v>
      </c>
      <c r="B235" s="43" t="s">
        <v>6</v>
      </c>
      <c r="C235" s="123">
        <v>33.61</v>
      </c>
      <c r="D235" s="127">
        <v>17.212</v>
      </c>
      <c r="E235" s="127">
        <v>22.349</v>
      </c>
      <c r="F235" s="127">
        <v>19.615</v>
      </c>
      <c r="G235" s="127">
        <v>17.4</v>
      </c>
      <c r="H235" s="127">
        <v>14.5</v>
      </c>
      <c r="I235" s="127">
        <v>16</v>
      </c>
    </row>
    <row r="236" spans="1:9" ht="27.75" customHeight="1">
      <c r="A236" s="105" t="s">
        <v>13</v>
      </c>
      <c r="B236" s="43" t="s">
        <v>4</v>
      </c>
      <c r="C236" s="125">
        <f>C235/1.06/15.853*100</f>
        <v>200.00975947651116</v>
      </c>
      <c r="D236" s="126">
        <f>D235/1.05/C235*100</f>
        <v>48.77233249741431</v>
      </c>
      <c r="E236" s="125">
        <f>E235/1.143/D235*100</f>
        <v>113.60057450406428</v>
      </c>
      <c r="F236" s="125">
        <f>F235/1.06/E235*100</f>
        <v>82.79885892492761</v>
      </c>
      <c r="G236" s="125">
        <f>G235/1.05/F235*100</f>
        <v>84.48344925530752</v>
      </c>
      <c r="H236" s="125">
        <f>H235/1.045/G235*100</f>
        <v>79.74481658692186</v>
      </c>
      <c r="I236" s="125">
        <f>I235/1.042/H235*100</f>
        <v>105.89714739559204</v>
      </c>
    </row>
    <row r="237" spans="1:9" ht="24.75" customHeight="1">
      <c r="A237" s="157" t="s">
        <v>107</v>
      </c>
      <c r="B237" s="157"/>
      <c r="C237" s="157"/>
      <c r="D237" s="157"/>
      <c r="E237" s="157"/>
      <c r="F237" s="157"/>
      <c r="G237" s="157"/>
      <c r="H237" s="157"/>
      <c r="I237" s="157"/>
    </row>
    <row r="238" spans="1:9" ht="31.5">
      <c r="A238" s="102" t="s">
        <v>55</v>
      </c>
      <c r="B238" s="39"/>
      <c r="C238" s="47"/>
      <c r="D238" s="47"/>
      <c r="E238" s="47"/>
      <c r="F238" s="47"/>
      <c r="G238" s="47"/>
      <c r="H238" s="47"/>
      <c r="I238" s="47"/>
    </row>
    <row r="239" spans="1:9" ht="25.5">
      <c r="A239" s="16" t="s">
        <v>1</v>
      </c>
      <c r="B239" s="39" t="s">
        <v>6</v>
      </c>
      <c r="C239" s="146">
        <v>150.119</v>
      </c>
      <c r="D239" s="147">
        <v>154.147</v>
      </c>
      <c r="E239" s="148">
        <v>56.58</v>
      </c>
      <c r="F239" s="147">
        <v>99.3678</v>
      </c>
      <c r="G239" s="147">
        <v>172.3711</v>
      </c>
      <c r="H239" s="147">
        <v>57.9384</v>
      </c>
      <c r="I239" s="147">
        <v>93.649</v>
      </c>
    </row>
    <row r="240" spans="1:9" ht="27.75" customHeight="1">
      <c r="A240" s="16" t="s">
        <v>13</v>
      </c>
      <c r="B240" s="39" t="s">
        <v>4</v>
      </c>
      <c r="C240" s="125">
        <f>C239/1.06/186.6*100</f>
        <v>75.89587251511658</v>
      </c>
      <c r="D240" s="126">
        <f>D239/1.05/C239*100</f>
        <v>97.79352824536977</v>
      </c>
      <c r="E240" s="125">
        <f>E239/1.143/D239*100</f>
        <v>32.11305593748695</v>
      </c>
      <c r="F240" s="126">
        <f>F239/1.06/E239*100</f>
        <v>165.68258668640829</v>
      </c>
      <c r="G240" s="126">
        <f>G239/1.05/F239*100</f>
        <v>165.20739352280356</v>
      </c>
      <c r="H240" s="126">
        <f>H239/1.045/G239*100</f>
        <v>32.16516282374282</v>
      </c>
      <c r="I240" s="126">
        <f>I239/1.042/H239*100</f>
        <v>155.12040413668015</v>
      </c>
    </row>
    <row r="241" spans="1:9" ht="15.75">
      <c r="A241" s="102" t="s">
        <v>56</v>
      </c>
      <c r="B241" s="39"/>
      <c r="C241" s="117"/>
      <c r="D241" s="118"/>
      <c r="E241" s="131"/>
      <c r="F241" s="132"/>
      <c r="G241" s="133"/>
      <c r="H241" s="133"/>
      <c r="I241" s="48"/>
    </row>
    <row r="242" spans="1:9" ht="25.5">
      <c r="A242" s="16" t="s">
        <v>1</v>
      </c>
      <c r="B242" s="39" t="s">
        <v>6</v>
      </c>
      <c r="C242" s="143">
        <v>123.121</v>
      </c>
      <c r="D242" s="144">
        <v>258.838</v>
      </c>
      <c r="E242" s="145">
        <v>464.114</v>
      </c>
      <c r="F242" s="144">
        <f>F203-F239</f>
        <v>851.7017999999999</v>
      </c>
      <c r="G242" s="144">
        <f>G203-G239</f>
        <v>1356.0926</v>
      </c>
      <c r="H242" s="144">
        <f>H203-H239</f>
        <v>1269.0916</v>
      </c>
      <c r="I242" s="144">
        <f>I203-I239</f>
        <v>461.952</v>
      </c>
    </row>
    <row r="243" spans="1:9" ht="27" customHeight="1">
      <c r="A243" s="16" t="s">
        <v>13</v>
      </c>
      <c r="B243" s="39" t="s">
        <v>4</v>
      </c>
      <c r="C243" s="125">
        <f>C242/1.06/172.2*100</f>
        <v>67.45173449039072</v>
      </c>
      <c r="D243" s="126">
        <f>D242/1.05/C242*100</f>
        <v>200.21960587745465</v>
      </c>
      <c r="E243" s="125">
        <f>E242/1.143/D242*100</f>
        <v>156.87379514436267</v>
      </c>
      <c r="F243" s="125">
        <f>F242/1.06/E242*100</f>
        <v>173.1239014877688</v>
      </c>
      <c r="G243" s="125">
        <f>G242/1.05/F242*100</f>
        <v>151.63954824385272</v>
      </c>
      <c r="H243" s="125">
        <f>H242/1.045/G242*100</f>
        <v>89.55448340976407</v>
      </c>
      <c r="I243" s="125">
        <f>I242/1.042/H242*100</f>
        <v>34.93302246605385</v>
      </c>
    </row>
    <row r="244" spans="1:9" s="5" customFormat="1" ht="47.25">
      <c r="A244" s="16" t="s">
        <v>237</v>
      </c>
      <c r="B244" s="39" t="s">
        <v>6</v>
      </c>
      <c r="C244" s="48" t="s">
        <v>253</v>
      </c>
      <c r="D244" s="48" t="s">
        <v>253</v>
      </c>
      <c r="E244" s="48" t="s">
        <v>253</v>
      </c>
      <c r="F244" s="48" t="s">
        <v>253</v>
      </c>
      <c r="G244" s="48" t="s">
        <v>253</v>
      </c>
      <c r="H244" s="48" t="s">
        <v>253</v>
      </c>
      <c r="I244" s="48" t="s">
        <v>253</v>
      </c>
    </row>
    <row r="245" spans="1:9" s="5" customFormat="1" ht="31.5">
      <c r="A245" s="16" t="s">
        <v>238</v>
      </c>
      <c r="B245" s="39" t="s">
        <v>5</v>
      </c>
      <c r="C245" s="48">
        <v>2.8</v>
      </c>
      <c r="D245" s="48">
        <v>2.5</v>
      </c>
      <c r="E245" s="48" t="s">
        <v>253</v>
      </c>
      <c r="F245" s="48" t="s">
        <v>253</v>
      </c>
      <c r="G245" s="48" t="s">
        <v>253</v>
      </c>
      <c r="H245" s="48" t="s">
        <v>253</v>
      </c>
      <c r="I245" s="48" t="s">
        <v>253</v>
      </c>
    </row>
    <row r="246" spans="1:9" s="5" customFormat="1" ht="35.25" customHeight="1">
      <c r="A246" s="157" t="s">
        <v>183</v>
      </c>
      <c r="B246" s="157"/>
      <c r="C246" s="157"/>
      <c r="D246" s="157"/>
      <c r="E246" s="157"/>
      <c r="F246" s="157"/>
      <c r="G246" s="157"/>
      <c r="H246" s="157"/>
      <c r="I246" s="157"/>
    </row>
    <row r="247" spans="1:9" s="5" customFormat="1" ht="27" customHeight="1">
      <c r="A247" s="16" t="s">
        <v>1</v>
      </c>
      <c r="B247" s="39" t="s">
        <v>6</v>
      </c>
      <c r="C247" s="49">
        <v>543.603</v>
      </c>
      <c r="D247" s="50">
        <v>712.9644</v>
      </c>
      <c r="E247" s="50">
        <v>75.859</v>
      </c>
      <c r="F247" s="46">
        <v>801.446</v>
      </c>
      <c r="G247" s="46">
        <v>1186.895</v>
      </c>
      <c r="H247" s="46">
        <v>1204.044</v>
      </c>
      <c r="I247" s="46">
        <v>616.36</v>
      </c>
    </row>
    <row r="248" spans="1:9" s="5" customFormat="1" ht="28.5" customHeight="1">
      <c r="A248" s="16" t="s">
        <v>13</v>
      </c>
      <c r="B248" s="39" t="s">
        <v>4</v>
      </c>
      <c r="C248" s="51">
        <f>C247/1.012/497.897*100</f>
        <v>107.88518802573743</v>
      </c>
      <c r="D248" s="44">
        <f>D247/1.064/C247*100</f>
        <v>123.26630340676388</v>
      </c>
      <c r="E248" s="42">
        <f>E247/1.049/D247*100</f>
        <v>10.142938217980909</v>
      </c>
      <c r="F248" s="42">
        <f>F247/1.039/E247*100</f>
        <v>1016.8376183355525</v>
      </c>
      <c r="G248" s="45">
        <f>G247/1.042/F247*100</f>
        <v>142.12494697025147</v>
      </c>
      <c r="H248" s="42">
        <f>H247/1.055/G247*100</f>
        <v>96.15626771106875</v>
      </c>
      <c r="I248" s="42">
        <f>I247/1.053/H247*100</f>
        <v>48.6142642630833</v>
      </c>
    </row>
    <row r="249" spans="1:9" s="20" customFormat="1" ht="21" customHeight="1">
      <c r="A249" s="162" t="s">
        <v>58</v>
      </c>
      <c r="B249" s="162"/>
      <c r="C249" s="162"/>
      <c r="D249" s="162"/>
      <c r="E249" s="162"/>
      <c r="F249" s="162"/>
      <c r="G249" s="162"/>
      <c r="H249" s="162"/>
      <c r="I249" s="162"/>
    </row>
    <row r="250" spans="1:9" s="9" customFormat="1" ht="16.5" customHeight="1">
      <c r="A250" s="157" t="s">
        <v>59</v>
      </c>
      <c r="B250" s="157"/>
      <c r="C250" s="157"/>
      <c r="D250" s="157"/>
      <c r="E250" s="157"/>
      <c r="F250" s="157"/>
      <c r="G250" s="157"/>
      <c r="H250" s="157"/>
      <c r="I250" s="52"/>
    </row>
    <row r="251" spans="1:9" s="9" customFormat="1" ht="30" customHeight="1">
      <c r="A251" s="16" t="s">
        <v>1</v>
      </c>
      <c r="B251" s="39" t="s">
        <v>6</v>
      </c>
      <c r="C251" s="78">
        <v>3817.4</v>
      </c>
      <c r="D251" s="78">
        <v>4917.6</v>
      </c>
      <c r="E251" s="78">
        <v>4660.1</v>
      </c>
      <c r="F251" s="78">
        <v>4893.1</v>
      </c>
      <c r="G251" s="78">
        <v>5138</v>
      </c>
      <c r="H251" s="78">
        <v>5395</v>
      </c>
      <c r="I251" s="78">
        <v>5664.7</v>
      </c>
    </row>
    <row r="252" spans="1:9" s="9" customFormat="1" ht="26.25" customHeight="1">
      <c r="A252" s="16" t="s">
        <v>13</v>
      </c>
      <c r="B252" s="39" t="s">
        <v>4</v>
      </c>
      <c r="C252" s="52">
        <v>92.2</v>
      </c>
      <c r="D252" s="53">
        <f>D251/1.076*100/C251</f>
        <v>119.72180602107002</v>
      </c>
      <c r="E252" s="53">
        <f>E251/1.163*100/D251</f>
        <v>81.48212026894538</v>
      </c>
      <c r="F252" s="53">
        <f>F251/1.077*100/E251</f>
        <v>97.49293658882554</v>
      </c>
      <c r="G252" s="53">
        <f>G251/1.054*100/F251</f>
        <v>99.62524388116216</v>
      </c>
      <c r="H252" s="53">
        <f>H251/1.048*100/G251</f>
        <v>100.1926968345422</v>
      </c>
      <c r="I252" s="53">
        <f>I251/1.04*100/H251</f>
        <v>100.96064732301988</v>
      </c>
    </row>
    <row r="253" spans="1:9" s="34" customFormat="1" ht="19.5" customHeight="1">
      <c r="A253" s="157" t="s">
        <v>227</v>
      </c>
      <c r="B253" s="157"/>
      <c r="C253" s="157"/>
      <c r="D253" s="157"/>
      <c r="E253" s="157"/>
      <c r="F253" s="157"/>
      <c r="G253" s="157"/>
      <c r="H253" s="157"/>
      <c r="I253" s="157"/>
    </row>
    <row r="254" spans="1:9" s="34" customFormat="1" ht="104.25" customHeight="1">
      <c r="A254" s="16" t="s">
        <v>228</v>
      </c>
      <c r="B254" s="72" t="s">
        <v>229</v>
      </c>
      <c r="C254" s="78">
        <v>3817.4</v>
      </c>
      <c r="D254" s="78">
        <v>4917.6</v>
      </c>
      <c r="E254" s="78">
        <v>4660.1</v>
      </c>
      <c r="F254" s="78">
        <v>4893.1</v>
      </c>
      <c r="G254" s="78">
        <v>5138</v>
      </c>
      <c r="H254" s="78">
        <v>5395</v>
      </c>
      <c r="I254" s="78">
        <v>5664.7</v>
      </c>
    </row>
    <row r="255" spans="1:9" s="34" customFormat="1" ht="67.5" customHeight="1">
      <c r="A255" s="16" t="s">
        <v>230</v>
      </c>
      <c r="B255" s="72" t="s">
        <v>229</v>
      </c>
      <c r="C255" s="53">
        <v>2.3</v>
      </c>
      <c r="D255" s="53">
        <v>3.2</v>
      </c>
      <c r="E255" s="53">
        <v>2.6</v>
      </c>
      <c r="F255" s="53">
        <v>3</v>
      </c>
      <c r="G255" s="53">
        <v>3.1</v>
      </c>
      <c r="H255" s="53">
        <v>3.2</v>
      </c>
      <c r="I255" s="53">
        <v>3.3</v>
      </c>
    </row>
    <row r="256" spans="1:9" s="34" customFormat="1" ht="31.5">
      <c r="A256" s="16" t="s">
        <v>231</v>
      </c>
      <c r="B256" s="72" t="s">
        <v>232</v>
      </c>
      <c r="C256" s="53">
        <v>965</v>
      </c>
      <c r="D256" s="53">
        <v>972</v>
      </c>
      <c r="E256" s="53">
        <v>1073</v>
      </c>
      <c r="F256" s="53">
        <v>1126.7</v>
      </c>
      <c r="G256" s="53">
        <v>1183</v>
      </c>
      <c r="H256" s="53">
        <v>1242.1</v>
      </c>
      <c r="I256" s="53">
        <v>1304.2</v>
      </c>
    </row>
    <row r="257" spans="1:9" s="34" customFormat="1" ht="52.5" customHeight="1">
      <c r="A257" s="16" t="s">
        <v>231</v>
      </c>
      <c r="B257" s="72" t="s">
        <v>233</v>
      </c>
      <c r="C257" s="53">
        <f>C256/C251*100</f>
        <v>25.278985697071306</v>
      </c>
      <c r="D257" s="53">
        <f aca="true" t="shared" si="16" ref="D257:I257">D256/D251*100</f>
        <v>19.765739385065885</v>
      </c>
      <c r="E257" s="53">
        <f t="shared" si="16"/>
        <v>23.025256968734574</v>
      </c>
      <c r="F257" s="53">
        <f t="shared" si="16"/>
        <v>23.026302344117227</v>
      </c>
      <c r="G257" s="53">
        <f t="shared" si="16"/>
        <v>23.024523160762943</v>
      </c>
      <c r="H257" s="53">
        <f t="shared" si="16"/>
        <v>23.023169601482856</v>
      </c>
      <c r="I257" s="53">
        <f t="shared" si="16"/>
        <v>23.02328455169736</v>
      </c>
    </row>
    <row r="258" spans="1:9" s="34" customFormat="1" ht="23.25" customHeight="1">
      <c r="A258" s="157" t="s">
        <v>234</v>
      </c>
      <c r="B258" s="157"/>
      <c r="C258" s="157"/>
      <c r="D258" s="157"/>
      <c r="E258" s="157"/>
      <c r="F258" s="157"/>
      <c r="G258" s="157"/>
      <c r="H258" s="157"/>
      <c r="I258" s="157"/>
    </row>
    <row r="259" spans="1:9" s="34" customFormat="1" ht="69.75" customHeight="1">
      <c r="A259" s="99" t="s">
        <v>235</v>
      </c>
      <c r="B259" s="137" t="s">
        <v>255</v>
      </c>
      <c r="C259" s="52">
        <v>48</v>
      </c>
      <c r="D259" s="52">
        <v>45</v>
      </c>
      <c r="E259" s="52">
        <v>55</v>
      </c>
      <c r="F259" s="52">
        <v>55</v>
      </c>
      <c r="G259" s="52">
        <v>50</v>
      </c>
      <c r="H259" s="52">
        <v>48</v>
      </c>
      <c r="I259" s="52">
        <v>48</v>
      </c>
    </row>
    <row r="260" spans="1:9" s="34" customFormat="1" ht="69.75" customHeight="1">
      <c r="A260" s="99" t="s">
        <v>236</v>
      </c>
      <c r="B260" s="137" t="s">
        <v>255</v>
      </c>
      <c r="C260" s="52">
        <v>52</v>
      </c>
      <c r="D260" s="52">
        <v>55</v>
      </c>
      <c r="E260" s="52">
        <v>45</v>
      </c>
      <c r="F260" s="52">
        <v>45</v>
      </c>
      <c r="G260" s="52">
        <v>50</v>
      </c>
      <c r="H260" s="52">
        <v>52</v>
      </c>
      <c r="I260" s="52">
        <v>52</v>
      </c>
    </row>
    <row r="261" spans="1:9" s="10" customFormat="1" ht="16.5" customHeight="1">
      <c r="A261" s="157" t="s">
        <v>75</v>
      </c>
      <c r="B261" s="157"/>
      <c r="C261" s="157"/>
      <c r="D261" s="157"/>
      <c r="E261" s="157"/>
      <c r="F261" s="157"/>
      <c r="G261" s="157"/>
      <c r="H261" s="157"/>
      <c r="I261" s="157"/>
    </row>
    <row r="262" spans="1:9" s="9" customFormat="1" ht="31.5" customHeight="1">
      <c r="A262" s="16" t="s">
        <v>1</v>
      </c>
      <c r="B262" s="39" t="s">
        <v>6</v>
      </c>
      <c r="C262" s="52">
        <v>84.1</v>
      </c>
      <c r="D262" s="53">
        <v>88.7</v>
      </c>
      <c r="E262" s="53">
        <v>91</v>
      </c>
      <c r="F262" s="53">
        <v>91</v>
      </c>
      <c r="G262" s="53">
        <v>93.7</v>
      </c>
      <c r="H262" s="53">
        <v>96.5</v>
      </c>
      <c r="I262" s="53">
        <v>99.4</v>
      </c>
    </row>
    <row r="263" spans="1:9" s="9" customFormat="1" ht="28.5" customHeight="1">
      <c r="A263" s="16" t="s">
        <v>13</v>
      </c>
      <c r="B263" s="39" t="s">
        <v>4</v>
      </c>
      <c r="C263" s="52">
        <v>90.1</v>
      </c>
      <c r="D263" s="53">
        <f>D262/1.11*100/C262</f>
        <v>95.01772878705101</v>
      </c>
      <c r="E263" s="53">
        <f>E262/1.193*100/D262</f>
        <v>85.9958173902443</v>
      </c>
      <c r="F263" s="53">
        <f>F262/1.064*100/E262</f>
        <v>93.98496240601504</v>
      </c>
      <c r="G263" s="53">
        <f>G262/1.056*100/F262</f>
        <v>97.50666000666</v>
      </c>
      <c r="H263" s="53">
        <f>H262/1.049*100/G262</f>
        <v>98.17755996715884</v>
      </c>
      <c r="I263" s="53">
        <f>I262/1.044*100/H262</f>
        <v>98.6639668076152</v>
      </c>
    </row>
    <row r="264" spans="1:9" s="9" customFormat="1" ht="16.5" customHeight="1">
      <c r="A264" s="157" t="s">
        <v>60</v>
      </c>
      <c r="B264" s="157"/>
      <c r="C264" s="157"/>
      <c r="D264" s="157"/>
      <c r="E264" s="157"/>
      <c r="F264" s="157"/>
      <c r="G264" s="157"/>
      <c r="H264" s="157"/>
      <c r="I264" s="157"/>
    </row>
    <row r="265" spans="1:9" s="9" customFormat="1" ht="31.5" customHeight="1">
      <c r="A265" s="16" t="s">
        <v>1</v>
      </c>
      <c r="B265" s="39" t="s">
        <v>6</v>
      </c>
      <c r="C265" s="52">
        <f>C269+C272+C275+C278+C281+C284+C287+C290+C293+C296+C299+C302+C305+C307</f>
        <v>890.5</v>
      </c>
      <c r="D265" s="52">
        <f aca="true" t="shared" si="17" ref="D265:I265">D269+D272+D275+D278+D281+D284+D287+D290+D293+D296+D299+D302+D305+D307</f>
        <v>931.6999999999999</v>
      </c>
      <c r="E265" s="52">
        <f t="shared" si="17"/>
        <v>1016.6999999999998</v>
      </c>
      <c r="F265" s="52">
        <f t="shared" si="17"/>
        <v>1045.8</v>
      </c>
      <c r="G265" s="52">
        <f t="shared" si="17"/>
        <v>1075.1999999999998</v>
      </c>
      <c r="H265" s="52">
        <f t="shared" si="17"/>
        <v>1111.2</v>
      </c>
      <c r="I265" s="52">
        <f t="shared" si="17"/>
        <v>1154.8999999999999</v>
      </c>
    </row>
    <row r="266" spans="1:9" s="9" customFormat="1" ht="26.25" customHeight="1">
      <c r="A266" s="16" t="s">
        <v>13</v>
      </c>
      <c r="B266" s="39" t="s">
        <v>4</v>
      </c>
      <c r="C266" s="52">
        <v>103.5</v>
      </c>
      <c r="D266" s="53">
        <f>D265/1.066*100/C265</f>
        <v>98.1487938664641</v>
      </c>
      <c r="E266" s="53">
        <f>E265/1.09*100/D265</f>
        <v>100.11294339143302</v>
      </c>
      <c r="F266" s="53">
        <f>F265/1.072*100/E265</f>
        <v>95.95354593218623</v>
      </c>
      <c r="G266" s="53">
        <f>G265/1.057*100/F265</f>
        <v>97.26702457892117</v>
      </c>
      <c r="H266" s="53">
        <f>H265/1.051*100/G265</f>
        <v>98.33322006252551</v>
      </c>
      <c r="I266" s="53">
        <f>I265/1.048*100/H265</f>
        <v>99.17240971867288</v>
      </c>
    </row>
    <row r="267" spans="1:9" s="9" customFormat="1" ht="15" customHeight="1">
      <c r="A267" s="16" t="s">
        <v>14</v>
      </c>
      <c r="B267" s="39"/>
      <c r="C267" s="52"/>
      <c r="D267" s="52"/>
      <c r="E267" s="52"/>
      <c r="F267" s="52"/>
      <c r="G267" s="52"/>
      <c r="H267" s="52"/>
      <c r="I267" s="52"/>
    </row>
    <row r="268" spans="1:9" s="9" customFormat="1" ht="18.75" customHeight="1">
      <c r="A268" s="106" t="s">
        <v>61</v>
      </c>
      <c r="B268" s="39"/>
      <c r="C268" s="52"/>
      <c r="D268" s="52"/>
      <c r="E268" s="52"/>
      <c r="F268" s="52"/>
      <c r="G268" s="52"/>
      <c r="H268" s="52"/>
      <c r="I268" s="52"/>
    </row>
    <row r="269" spans="1:9" s="9" customFormat="1" ht="31.5" customHeight="1">
      <c r="A269" s="35" t="s">
        <v>1</v>
      </c>
      <c r="B269" s="39" t="s">
        <v>6</v>
      </c>
      <c r="C269" s="52">
        <v>78.7</v>
      </c>
      <c r="D269" s="52">
        <v>88.7</v>
      </c>
      <c r="E269" s="52">
        <v>92.2</v>
      </c>
      <c r="F269" s="52">
        <v>92.2</v>
      </c>
      <c r="G269" s="53">
        <v>95</v>
      </c>
      <c r="H269" s="53">
        <v>98</v>
      </c>
      <c r="I269" s="53">
        <v>101</v>
      </c>
    </row>
    <row r="270" spans="1:9" s="9" customFormat="1" ht="31.5" customHeight="1">
      <c r="A270" s="35" t="s">
        <v>13</v>
      </c>
      <c r="B270" s="39" t="s">
        <v>4</v>
      </c>
      <c r="C270" s="53">
        <v>124</v>
      </c>
      <c r="D270" s="53">
        <f>D269/1.066*100/C269</f>
        <v>105.72840553935792</v>
      </c>
      <c r="E270" s="53">
        <f>E269/1.09*100/D269</f>
        <v>95.36319725287797</v>
      </c>
      <c r="F270" s="53">
        <f>F269/1.072*100/E269</f>
        <v>93.28358208955223</v>
      </c>
      <c r="G270" s="53">
        <f>G269/1.057*100/F269</f>
        <v>97.48048851064179</v>
      </c>
      <c r="H270" s="53">
        <f>H269/1.051*100/G269</f>
        <v>98.1521358105063</v>
      </c>
      <c r="I270" s="53">
        <f>I269/1.048*100/H269</f>
        <v>98.34086306278236</v>
      </c>
    </row>
    <row r="271" spans="1:9" s="9" customFormat="1" ht="15.75" customHeight="1">
      <c r="A271" s="106" t="s">
        <v>62</v>
      </c>
      <c r="B271" s="39"/>
      <c r="C271" s="52"/>
      <c r="D271" s="52"/>
      <c r="E271" s="52"/>
      <c r="F271" s="52"/>
      <c r="G271" s="52"/>
      <c r="H271" s="52"/>
      <c r="I271" s="52"/>
    </row>
    <row r="272" spans="1:9" s="9" customFormat="1" ht="31.5" customHeight="1">
      <c r="A272" s="35" t="s">
        <v>1</v>
      </c>
      <c r="B272" s="39" t="s">
        <v>6</v>
      </c>
      <c r="C272" s="52">
        <v>124.1</v>
      </c>
      <c r="D272" s="52">
        <v>132.8</v>
      </c>
      <c r="E272" s="52">
        <v>134.8</v>
      </c>
      <c r="F272" s="52">
        <v>127.9</v>
      </c>
      <c r="G272" s="52">
        <v>129.3</v>
      </c>
      <c r="H272" s="52">
        <v>129.3</v>
      </c>
      <c r="I272" s="52">
        <v>133.3</v>
      </c>
    </row>
    <row r="273" spans="1:9" s="9" customFormat="1" ht="31.5" customHeight="1">
      <c r="A273" s="35" t="s">
        <v>13</v>
      </c>
      <c r="B273" s="39" t="s">
        <v>4</v>
      </c>
      <c r="C273" s="52">
        <v>99.9</v>
      </c>
      <c r="D273" s="53">
        <f>D272/1.066*100/C272</f>
        <v>100.38506137246335</v>
      </c>
      <c r="E273" s="53">
        <f>E272/1.09*100/D272</f>
        <v>93.12479274897755</v>
      </c>
      <c r="F273" s="53">
        <f>F272/1.072*100/E272</f>
        <v>88.50868063244607</v>
      </c>
      <c r="G273" s="53">
        <f>G272/1.057*100/F272</f>
        <v>95.6429566322436</v>
      </c>
      <c r="H273" s="53">
        <f>H272/1.051*100/G272</f>
        <v>95.14747859181732</v>
      </c>
      <c r="I273" s="53">
        <f>I272/1.048*100/H272</f>
        <v>98.37173742347224</v>
      </c>
    </row>
    <row r="274" spans="1:9" s="9" customFormat="1" ht="15" customHeight="1">
      <c r="A274" s="106" t="s">
        <v>63</v>
      </c>
      <c r="B274" s="39"/>
      <c r="C274" s="52"/>
      <c r="D274" s="52"/>
      <c r="E274" s="52"/>
      <c r="F274" s="52"/>
      <c r="G274" s="52"/>
      <c r="H274" s="52"/>
      <c r="I274" s="52"/>
    </row>
    <row r="275" spans="1:9" s="9" customFormat="1" ht="31.5" customHeight="1">
      <c r="A275" s="35" t="s">
        <v>1</v>
      </c>
      <c r="B275" s="39" t="s">
        <v>6</v>
      </c>
      <c r="C275" s="53">
        <v>103</v>
      </c>
      <c r="D275" s="52">
        <v>101.8</v>
      </c>
      <c r="E275" s="52">
        <v>110.5</v>
      </c>
      <c r="F275" s="52">
        <v>109.9</v>
      </c>
      <c r="G275" s="52">
        <v>106.6</v>
      </c>
      <c r="H275" s="52">
        <v>105.9</v>
      </c>
      <c r="I275" s="52">
        <v>105.3</v>
      </c>
    </row>
    <row r="276" spans="1:9" s="9" customFormat="1" ht="31.5" customHeight="1">
      <c r="A276" s="35" t="s">
        <v>13</v>
      </c>
      <c r="B276" s="39" t="s">
        <v>4</v>
      </c>
      <c r="C276" s="52">
        <v>96.9</v>
      </c>
      <c r="D276" s="53">
        <f>D275/1.066*100/C275</f>
        <v>92.7157143117361</v>
      </c>
      <c r="E276" s="53">
        <f>E275/1.09*100/D275</f>
        <v>99.58364124655287</v>
      </c>
      <c r="F276" s="53">
        <f>F275/1.072*100/E275</f>
        <v>92.77706490173566</v>
      </c>
      <c r="G276" s="53">
        <f>G275/1.057*100/F275</f>
        <v>91.76657544529601</v>
      </c>
      <c r="H276" s="53">
        <f>H275/1.051*100/G275</f>
        <v>94.52268276616749</v>
      </c>
      <c r="I276" s="53">
        <f>I275/1.048*100/H275</f>
        <v>94.87922496377828</v>
      </c>
    </row>
    <row r="277" spans="1:9" s="9" customFormat="1" ht="18.75" customHeight="1">
      <c r="A277" s="106" t="s">
        <v>64</v>
      </c>
      <c r="B277" s="39"/>
      <c r="C277" s="52"/>
      <c r="D277" s="52"/>
      <c r="E277" s="52"/>
      <c r="F277" s="52"/>
      <c r="G277" s="52"/>
      <c r="H277" s="52"/>
      <c r="I277" s="52"/>
    </row>
    <row r="278" spans="1:9" s="9" customFormat="1" ht="31.5" customHeight="1">
      <c r="A278" s="35" t="s">
        <v>1</v>
      </c>
      <c r="B278" s="39" t="s">
        <v>6</v>
      </c>
      <c r="C278" s="52">
        <v>88.1</v>
      </c>
      <c r="D278" s="52">
        <v>78.9</v>
      </c>
      <c r="E278" s="52">
        <v>100.9</v>
      </c>
      <c r="F278" s="52">
        <v>108.2</v>
      </c>
      <c r="G278" s="52">
        <v>114.4</v>
      </c>
      <c r="H278" s="52">
        <v>120.2</v>
      </c>
      <c r="I278" s="52">
        <v>126</v>
      </c>
    </row>
    <row r="279" spans="1:9" s="9" customFormat="1" ht="31.5" customHeight="1">
      <c r="A279" s="35" t="s">
        <v>13</v>
      </c>
      <c r="B279" s="39" t="s">
        <v>4</v>
      </c>
      <c r="C279" s="53">
        <v>120.9</v>
      </c>
      <c r="D279" s="53">
        <f>D278/1.066*100/C278</f>
        <v>84.01249645954941</v>
      </c>
      <c r="E279" s="53">
        <f>E278/1.09*100/D278</f>
        <v>117.32421716026558</v>
      </c>
      <c r="F279" s="53">
        <f>F278/1.072*100/E278</f>
        <v>100.03254293448515</v>
      </c>
      <c r="G279" s="53">
        <f>G278/1.057*100/F278</f>
        <v>100.02850462631835</v>
      </c>
      <c r="H279" s="53">
        <f>H278/1.051*100/G278</f>
        <v>99.97138921972414</v>
      </c>
      <c r="I279" s="53">
        <f>I278/1.048*100/H278</f>
        <v>100.02413280664541</v>
      </c>
    </row>
    <row r="280" spans="1:9" s="9" customFormat="1" ht="18.75" customHeight="1">
      <c r="A280" s="106" t="s">
        <v>65</v>
      </c>
      <c r="B280" s="39"/>
      <c r="C280" s="52"/>
      <c r="D280" s="52"/>
      <c r="E280" s="52"/>
      <c r="F280" s="52"/>
      <c r="G280" s="52"/>
      <c r="H280" s="52"/>
      <c r="I280" s="52"/>
    </row>
    <row r="281" spans="1:9" s="9" customFormat="1" ht="31.5" customHeight="1">
      <c r="A281" s="35" t="s">
        <v>1</v>
      </c>
      <c r="B281" s="39" t="s">
        <v>6</v>
      </c>
      <c r="C281" s="53">
        <v>315</v>
      </c>
      <c r="D281" s="52">
        <v>324</v>
      </c>
      <c r="E281" s="52">
        <v>351.2</v>
      </c>
      <c r="F281" s="52">
        <v>369.7</v>
      </c>
      <c r="G281" s="52">
        <v>380.4</v>
      </c>
      <c r="H281" s="52">
        <v>394.8</v>
      </c>
      <c r="I281" s="52">
        <v>411.9</v>
      </c>
    </row>
    <row r="282" spans="1:9" s="9" customFormat="1" ht="31.5" customHeight="1">
      <c r="A282" s="35" t="s">
        <v>13</v>
      </c>
      <c r="B282" s="39" t="s">
        <v>4</v>
      </c>
      <c r="C282" s="52">
        <v>98.9</v>
      </c>
      <c r="D282" s="53">
        <f>D281/1.066*100/C281</f>
        <v>96.48887697668184</v>
      </c>
      <c r="E282" s="53">
        <f>E281/1.09*100/D281</f>
        <v>99.44501075999545</v>
      </c>
      <c r="F282" s="53">
        <f>F281/1.072*100/E281</f>
        <v>98.19743820759528</v>
      </c>
      <c r="G282" s="53">
        <f>G281/1.057*100/F281</f>
        <v>97.345542641263</v>
      </c>
      <c r="H282" s="53">
        <f>H281/1.051*100/G281</f>
        <v>98.74927588866846</v>
      </c>
      <c r="I282" s="53">
        <f>I281/1.051*100/H281</f>
        <v>99.26860798371213</v>
      </c>
    </row>
    <row r="283" spans="1:9" s="9" customFormat="1" ht="18.75" customHeight="1">
      <c r="A283" s="106" t="s">
        <v>66</v>
      </c>
      <c r="B283" s="39"/>
      <c r="C283" s="52"/>
      <c r="D283" s="52"/>
      <c r="E283" s="52"/>
      <c r="F283" s="52"/>
      <c r="G283" s="52"/>
      <c r="H283" s="52"/>
      <c r="I283" s="52"/>
    </row>
    <row r="284" spans="1:9" s="9" customFormat="1" ht="31.5" customHeight="1">
      <c r="A284" s="35" t="s">
        <v>1</v>
      </c>
      <c r="B284" s="39" t="s">
        <v>6</v>
      </c>
      <c r="C284" s="52">
        <v>2.7</v>
      </c>
      <c r="D284" s="52">
        <v>2.3</v>
      </c>
      <c r="E284" s="53">
        <v>2.4</v>
      </c>
      <c r="F284" s="52">
        <v>2.7</v>
      </c>
      <c r="G284" s="52">
        <v>2.9</v>
      </c>
      <c r="H284" s="52">
        <v>3.1</v>
      </c>
      <c r="I284" s="52">
        <v>3.3</v>
      </c>
    </row>
    <row r="285" spans="1:9" s="9" customFormat="1" ht="31.5" customHeight="1">
      <c r="A285" s="35" t="s">
        <v>13</v>
      </c>
      <c r="B285" s="39" t="s">
        <v>4</v>
      </c>
      <c r="C285" s="52">
        <v>80.9</v>
      </c>
      <c r="D285" s="53">
        <f>D284/1.066*100/C284</f>
        <v>79.9110555208116</v>
      </c>
      <c r="E285" s="53">
        <f>E284/1.09*100/D284</f>
        <v>95.73195053849221</v>
      </c>
      <c r="F285" s="53">
        <f>F284/1.072*100/E284</f>
        <v>104.94402985074628</v>
      </c>
      <c r="G285" s="53">
        <f>G284/1.057*100/F284</f>
        <v>101.61533340341289</v>
      </c>
      <c r="H285" s="53">
        <f>H284/1.051*100/G284</f>
        <v>101.70937366711509</v>
      </c>
      <c r="I285" s="53">
        <f>I284/1.048*100/H284</f>
        <v>101.57596651071162</v>
      </c>
    </row>
    <row r="286" spans="1:9" s="9" customFormat="1" ht="18.75" customHeight="1">
      <c r="A286" s="106" t="s">
        <v>67</v>
      </c>
      <c r="B286" s="39"/>
      <c r="C286" s="52"/>
      <c r="D286" s="52"/>
      <c r="E286" s="52"/>
      <c r="F286" s="52"/>
      <c r="G286" s="52"/>
      <c r="H286" s="52"/>
      <c r="I286" s="52"/>
    </row>
    <row r="287" spans="1:9" s="9" customFormat="1" ht="31.5" customHeight="1">
      <c r="A287" s="35" t="s">
        <v>1</v>
      </c>
      <c r="B287" s="39" t="s">
        <v>6</v>
      </c>
      <c r="C287" s="52">
        <v>0</v>
      </c>
      <c r="D287" s="52">
        <v>0</v>
      </c>
      <c r="E287" s="52">
        <v>0</v>
      </c>
      <c r="F287" s="52">
        <v>0</v>
      </c>
      <c r="G287" s="52">
        <v>0</v>
      </c>
      <c r="H287" s="52">
        <v>0</v>
      </c>
      <c r="I287" s="52">
        <v>0</v>
      </c>
    </row>
    <row r="288" spans="1:9" s="9" customFormat="1" ht="31.5" customHeight="1">
      <c r="A288" s="35" t="s">
        <v>13</v>
      </c>
      <c r="B288" s="39" t="s">
        <v>4</v>
      </c>
      <c r="C288" s="52">
        <v>0</v>
      </c>
      <c r="D288" s="52">
        <v>0</v>
      </c>
      <c r="E288" s="52">
        <v>0</v>
      </c>
      <c r="F288" s="52">
        <v>0</v>
      </c>
      <c r="G288" s="52">
        <v>0</v>
      </c>
      <c r="H288" s="52">
        <v>0</v>
      </c>
      <c r="I288" s="52">
        <v>0</v>
      </c>
    </row>
    <row r="289" spans="1:9" s="9" customFormat="1" ht="33" customHeight="1">
      <c r="A289" s="106" t="s">
        <v>68</v>
      </c>
      <c r="B289" s="39"/>
      <c r="C289" s="52"/>
      <c r="D289" s="52"/>
      <c r="E289" s="52"/>
      <c r="F289" s="52"/>
      <c r="G289" s="52"/>
      <c r="H289" s="52"/>
      <c r="I289" s="52"/>
    </row>
    <row r="290" spans="1:9" s="9" customFormat="1" ht="31.5" customHeight="1">
      <c r="A290" s="35" t="s">
        <v>1</v>
      </c>
      <c r="B290" s="39" t="s">
        <v>6</v>
      </c>
      <c r="C290" s="52">
        <v>0</v>
      </c>
      <c r="D290" s="52">
        <v>0</v>
      </c>
      <c r="E290" s="52">
        <v>0</v>
      </c>
      <c r="F290" s="52">
        <v>0</v>
      </c>
      <c r="G290" s="52">
        <v>0</v>
      </c>
      <c r="H290" s="52">
        <v>0</v>
      </c>
      <c r="I290" s="52">
        <v>0</v>
      </c>
    </row>
    <row r="291" spans="1:9" s="9" customFormat="1" ht="31.5" customHeight="1">
      <c r="A291" s="35" t="s">
        <v>13</v>
      </c>
      <c r="B291" s="39" t="s">
        <v>4</v>
      </c>
      <c r="C291" s="52">
        <v>0</v>
      </c>
      <c r="D291" s="52">
        <v>0</v>
      </c>
      <c r="E291" s="52">
        <v>0</v>
      </c>
      <c r="F291" s="52">
        <v>0</v>
      </c>
      <c r="G291" s="52">
        <v>0</v>
      </c>
      <c r="H291" s="52">
        <v>0</v>
      </c>
      <c r="I291" s="52">
        <v>0</v>
      </c>
    </row>
    <row r="292" spans="1:9" s="9" customFormat="1" ht="18.75" customHeight="1">
      <c r="A292" s="106" t="s">
        <v>69</v>
      </c>
      <c r="B292" s="39"/>
      <c r="C292" s="52"/>
      <c r="D292" s="52"/>
      <c r="E292" s="52"/>
      <c r="F292" s="52"/>
      <c r="G292" s="52"/>
      <c r="H292" s="52"/>
      <c r="I292" s="52"/>
    </row>
    <row r="293" spans="1:9" s="9" customFormat="1" ht="31.5" customHeight="1">
      <c r="A293" s="35" t="s">
        <v>1</v>
      </c>
      <c r="B293" s="39" t="s">
        <v>6</v>
      </c>
      <c r="C293" s="53">
        <v>18</v>
      </c>
      <c r="D293" s="53">
        <v>28.3</v>
      </c>
      <c r="E293" s="53">
        <v>34.5</v>
      </c>
      <c r="F293" s="52">
        <v>39.1</v>
      </c>
      <c r="G293" s="52">
        <v>39.5</v>
      </c>
      <c r="H293" s="52">
        <v>40.3</v>
      </c>
      <c r="I293" s="52">
        <v>41.4</v>
      </c>
    </row>
    <row r="294" spans="1:9" s="9" customFormat="1" ht="31.5" customHeight="1">
      <c r="A294" s="35" t="s">
        <v>13</v>
      </c>
      <c r="B294" s="39" t="s">
        <v>4</v>
      </c>
      <c r="C294" s="52">
        <v>94.5</v>
      </c>
      <c r="D294" s="53">
        <f>D293/1.066*100/C293</f>
        <v>147.4880133416719</v>
      </c>
      <c r="E294" s="53">
        <f>E293/1.09*100/D293</f>
        <v>111.84231853989041</v>
      </c>
      <c r="F294" s="53">
        <f>F293/1.072*100/E293</f>
        <v>105.72139303482588</v>
      </c>
      <c r="G294" s="53">
        <f>G293/1.057*100/F293</f>
        <v>95.57522980398609</v>
      </c>
      <c r="H294" s="53">
        <f>H293/1.051*100/G293</f>
        <v>97.07451613291741</v>
      </c>
      <c r="I294" s="53">
        <f>I293/1.048*100/H293</f>
        <v>98.0243592900574</v>
      </c>
    </row>
    <row r="295" spans="1:9" s="9" customFormat="1" ht="18.75" customHeight="1">
      <c r="A295" s="106" t="s">
        <v>70</v>
      </c>
      <c r="B295" s="39"/>
      <c r="C295" s="52"/>
      <c r="D295" s="52"/>
      <c r="E295" s="52"/>
      <c r="F295" s="52"/>
      <c r="G295" s="52"/>
      <c r="H295" s="52"/>
      <c r="I295" s="52"/>
    </row>
    <row r="296" spans="1:9" s="9" customFormat="1" ht="31.5" customHeight="1">
      <c r="A296" s="35" t="s">
        <v>1</v>
      </c>
      <c r="B296" s="39" t="s">
        <v>6</v>
      </c>
      <c r="C296" s="52">
        <v>85.6</v>
      </c>
      <c r="D296" s="52">
        <v>91.5</v>
      </c>
      <c r="E296" s="52">
        <v>91.4</v>
      </c>
      <c r="F296" s="52">
        <v>90.6</v>
      </c>
      <c r="G296" s="52">
        <v>95.1</v>
      </c>
      <c r="H296" s="52">
        <v>99.8</v>
      </c>
      <c r="I296" s="53">
        <v>104.7</v>
      </c>
    </row>
    <row r="297" spans="1:9" s="9" customFormat="1" ht="31.5" customHeight="1">
      <c r="A297" s="35" t="s">
        <v>13</v>
      </c>
      <c r="B297" s="39" t="s">
        <v>4</v>
      </c>
      <c r="C297" s="52">
        <v>101.8</v>
      </c>
      <c r="D297" s="53">
        <f>D296/1.066*100/C296</f>
        <v>100.27441216180674</v>
      </c>
      <c r="E297" s="53">
        <f>E296/1.09*100/D296</f>
        <v>91.64285356193915</v>
      </c>
      <c r="F297" s="53">
        <f>F296/1.072*100/E296</f>
        <v>92.46709559423886</v>
      </c>
      <c r="G297" s="53">
        <f>G296/1.057*100/F296</f>
        <v>99.30642139755776</v>
      </c>
      <c r="H297" s="53">
        <f>H296/1.051*100/G296</f>
        <v>99.84982506270629</v>
      </c>
      <c r="I297" s="53">
        <f>I296/1.048*100/H296</f>
        <v>100.10478973213603</v>
      </c>
    </row>
    <row r="298" spans="1:9" s="9" customFormat="1" ht="18.75" customHeight="1">
      <c r="A298" s="106" t="s">
        <v>71</v>
      </c>
      <c r="B298" s="39"/>
      <c r="C298" s="52"/>
      <c r="D298" s="52"/>
      <c r="E298" s="52"/>
      <c r="F298" s="52"/>
      <c r="G298" s="52"/>
      <c r="H298" s="52"/>
      <c r="I298" s="52"/>
    </row>
    <row r="299" spans="1:9" s="9" customFormat="1" ht="31.5" customHeight="1">
      <c r="A299" s="35" t="s">
        <v>1</v>
      </c>
      <c r="B299" s="39" t="s">
        <v>6</v>
      </c>
      <c r="C299" s="53">
        <v>3</v>
      </c>
      <c r="D299" s="52">
        <v>3.1</v>
      </c>
      <c r="E299" s="52">
        <v>3.4</v>
      </c>
      <c r="F299" s="52">
        <v>3.6</v>
      </c>
      <c r="G299" s="52">
        <v>3.8</v>
      </c>
      <c r="H299" s="53">
        <v>4</v>
      </c>
      <c r="I299" s="52">
        <v>4.2</v>
      </c>
    </row>
    <row r="300" spans="1:9" s="9" customFormat="1" ht="31.5" customHeight="1">
      <c r="A300" s="35" t="s">
        <v>13</v>
      </c>
      <c r="B300" s="39" t="s">
        <v>4</v>
      </c>
      <c r="C300" s="52">
        <v>107.2</v>
      </c>
      <c r="D300" s="53">
        <f>D299/1.066*100/C299</f>
        <v>96.93558474046279</v>
      </c>
      <c r="E300" s="53">
        <f>E299/1.09*100/D299</f>
        <v>100.62148564664099</v>
      </c>
      <c r="F300" s="53">
        <f>F299/1.072*100/E299</f>
        <v>98.77085162423177</v>
      </c>
      <c r="G300" s="53">
        <f>G299/1.057*100/F299</f>
        <v>99.86334489645748</v>
      </c>
      <c r="H300" s="53">
        <f>H299/1.051*100/G299</f>
        <v>100.15524062296561</v>
      </c>
      <c r="I300" s="53">
        <f>I299/1.048*100/H299</f>
        <v>100.1908396946565</v>
      </c>
    </row>
    <row r="301" spans="1:9" s="9" customFormat="1" ht="18.75" customHeight="1">
      <c r="A301" s="106" t="s">
        <v>72</v>
      </c>
      <c r="B301" s="39"/>
      <c r="C301" s="52"/>
      <c r="D301" s="52"/>
      <c r="E301" s="52"/>
      <c r="F301" s="52"/>
      <c r="G301" s="52"/>
      <c r="H301" s="52"/>
      <c r="I301" s="52"/>
    </row>
    <row r="302" spans="1:9" s="9" customFormat="1" ht="31.5" customHeight="1">
      <c r="A302" s="35" t="s">
        <v>1</v>
      </c>
      <c r="B302" s="39" t="s">
        <v>6</v>
      </c>
      <c r="C302" s="52">
        <v>0.4</v>
      </c>
      <c r="D302" s="52">
        <v>0.3</v>
      </c>
      <c r="E302" s="52">
        <v>0.3</v>
      </c>
      <c r="F302" s="52">
        <v>0.3</v>
      </c>
      <c r="G302" s="52">
        <v>0.3</v>
      </c>
      <c r="H302" s="52">
        <v>0.3</v>
      </c>
      <c r="I302" s="52">
        <v>0.4</v>
      </c>
    </row>
    <row r="303" spans="1:9" s="9" customFormat="1" ht="31.5" customHeight="1">
      <c r="A303" s="35" t="s">
        <v>13</v>
      </c>
      <c r="B303" s="39" t="s">
        <v>4</v>
      </c>
      <c r="C303" s="52">
        <v>123.9</v>
      </c>
      <c r="D303" s="53">
        <f>D302/1.066*100/C302</f>
        <v>70.35647279549718</v>
      </c>
      <c r="E303" s="53">
        <f>E302/1.09*100/D302</f>
        <v>91.74311926605503</v>
      </c>
      <c r="F303" s="53">
        <f>F302/1.072*100/E302</f>
        <v>93.28358208955223</v>
      </c>
      <c r="G303" s="53">
        <f>G302/1.057*100/F302</f>
        <v>94.6073793755913</v>
      </c>
      <c r="H303" s="53">
        <f>H302/1.051*100/G302</f>
        <v>95.14747859181733</v>
      </c>
      <c r="I303" s="53">
        <f>I302/1.048*100/H302</f>
        <v>127.22646310432572</v>
      </c>
    </row>
    <row r="304" spans="1:9" s="9" customFormat="1" ht="18.75" customHeight="1">
      <c r="A304" s="106" t="s">
        <v>73</v>
      </c>
      <c r="B304" s="39"/>
      <c r="C304" s="52"/>
      <c r="D304" s="52"/>
      <c r="E304" s="52"/>
      <c r="F304" s="52"/>
      <c r="G304" s="52"/>
      <c r="H304" s="52"/>
      <c r="I304" s="52"/>
    </row>
    <row r="305" spans="1:9" s="9" customFormat="1" ht="31.5" customHeight="1">
      <c r="A305" s="35" t="s">
        <v>1</v>
      </c>
      <c r="B305" s="39" t="s">
        <v>6</v>
      </c>
      <c r="C305" s="52">
        <v>50.6</v>
      </c>
      <c r="D305" s="52">
        <v>52.3</v>
      </c>
      <c r="E305" s="52">
        <v>57.9</v>
      </c>
      <c r="F305" s="52">
        <v>60.8</v>
      </c>
      <c r="G305" s="52">
        <v>66.6</v>
      </c>
      <c r="H305" s="52">
        <v>73.1</v>
      </c>
      <c r="I305" s="52">
        <v>80.1</v>
      </c>
    </row>
    <row r="306" spans="1:9" s="9" customFormat="1" ht="31.5" customHeight="1">
      <c r="A306" s="35" t="s">
        <v>13</v>
      </c>
      <c r="B306" s="39" t="s">
        <v>4</v>
      </c>
      <c r="C306" s="52">
        <v>107.3</v>
      </c>
      <c r="D306" s="53">
        <f>D305/1.066*100/C305</f>
        <v>96.9603037471542</v>
      </c>
      <c r="E306" s="53">
        <f>E305/1.09*100/D305</f>
        <v>101.56647429263074</v>
      </c>
      <c r="F306" s="53">
        <f>F305/1.072*100/E305</f>
        <v>97.95581677106694</v>
      </c>
      <c r="G306" s="53">
        <f>G305/1.057*100/F305</f>
        <v>103.63242543444706</v>
      </c>
      <c r="H306" s="53">
        <f>H305/1.051*100/G305</f>
        <v>104.43364391984754</v>
      </c>
      <c r="I306" s="53">
        <f>I305/1.048*100/H305</f>
        <v>104.5571788097451</v>
      </c>
    </row>
    <row r="307" spans="1:9" s="9" customFormat="1" ht="32.25" customHeight="1">
      <c r="A307" s="106" t="s">
        <v>74</v>
      </c>
      <c r="B307" s="39" t="s">
        <v>6</v>
      </c>
      <c r="C307" s="52">
        <v>21.3</v>
      </c>
      <c r="D307" s="52">
        <v>27.7</v>
      </c>
      <c r="E307" s="52">
        <v>37.2</v>
      </c>
      <c r="F307" s="52">
        <v>40.8</v>
      </c>
      <c r="G307" s="52">
        <v>41.3</v>
      </c>
      <c r="H307" s="52">
        <v>42.4</v>
      </c>
      <c r="I307" s="52">
        <v>43.3</v>
      </c>
    </row>
    <row r="308" spans="1:9" s="20" customFormat="1" ht="21" customHeight="1">
      <c r="A308" s="162" t="s">
        <v>110</v>
      </c>
      <c r="B308" s="162"/>
      <c r="C308" s="162"/>
      <c r="D308" s="162"/>
      <c r="E308" s="162"/>
      <c r="F308" s="162"/>
      <c r="G308" s="162"/>
      <c r="H308" s="162"/>
      <c r="I308" s="162"/>
    </row>
    <row r="309" spans="1:9" s="6" customFormat="1" ht="67.5" customHeight="1">
      <c r="A309" s="99" t="s">
        <v>139</v>
      </c>
      <c r="B309" s="72" t="s">
        <v>41</v>
      </c>
      <c r="C309" s="47">
        <v>15.472</v>
      </c>
      <c r="D309" s="47">
        <v>15.054</v>
      </c>
      <c r="E309" s="47">
        <v>14.407</v>
      </c>
      <c r="F309" s="76">
        <v>14.18</v>
      </c>
      <c r="G309" s="47">
        <v>14.172</v>
      </c>
      <c r="H309" s="47">
        <v>14.095</v>
      </c>
      <c r="I309" s="47">
        <v>14.089</v>
      </c>
    </row>
    <row r="310" spans="1:9" s="6" customFormat="1" ht="53.25" customHeight="1">
      <c r="A310" s="115" t="s">
        <v>140</v>
      </c>
      <c r="B310" s="72" t="s">
        <v>41</v>
      </c>
      <c r="C310" s="47"/>
      <c r="D310" s="47"/>
      <c r="E310" s="47"/>
      <c r="F310" s="47"/>
      <c r="G310" s="47"/>
      <c r="H310" s="47"/>
      <c r="I310" s="47"/>
    </row>
    <row r="311" spans="1:9" s="6" customFormat="1" ht="31.5" customHeight="1">
      <c r="A311" s="116" t="s">
        <v>141</v>
      </c>
      <c r="B311" s="72" t="s">
        <v>41</v>
      </c>
      <c r="C311" s="47">
        <v>1.867</v>
      </c>
      <c r="D311" s="47">
        <v>3.437</v>
      </c>
      <c r="E311" s="47">
        <v>3.121</v>
      </c>
      <c r="F311" s="47">
        <v>3.027</v>
      </c>
      <c r="G311" s="47">
        <v>3.003</v>
      </c>
      <c r="H311" s="47">
        <v>2.993</v>
      </c>
      <c r="I311" s="47">
        <v>2.993</v>
      </c>
    </row>
    <row r="312" spans="1:9" s="6" customFormat="1" ht="34.5" customHeight="1">
      <c r="A312" s="116" t="s">
        <v>142</v>
      </c>
      <c r="B312" s="72" t="s">
        <v>41</v>
      </c>
      <c r="C312" s="47">
        <v>3.122</v>
      </c>
      <c r="D312" s="47">
        <v>2.107</v>
      </c>
      <c r="E312" s="47">
        <v>2.075</v>
      </c>
      <c r="F312" s="47">
        <v>2.062</v>
      </c>
      <c r="G312" s="47">
        <v>2.056</v>
      </c>
      <c r="H312" s="47">
        <v>2.054</v>
      </c>
      <c r="I312" s="47">
        <v>2.054</v>
      </c>
    </row>
    <row r="313" spans="1:9" s="6" customFormat="1" ht="33" customHeight="1">
      <c r="A313" s="116" t="s">
        <v>143</v>
      </c>
      <c r="B313" s="72" t="s">
        <v>41</v>
      </c>
      <c r="C313" s="47">
        <v>0.041</v>
      </c>
      <c r="D313" s="47">
        <v>0.006</v>
      </c>
      <c r="E313" s="47">
        <v>0.018</v>
      </c>
      <c r="F313" s="47">
        <v>0.018</v>
      </c>
      <c r="G313" s="47">
        <v>0.018</v>
      </c>
      <c r="H313" s="47">
        <v>0.018</v>
      </c>
      <c r="I313" s="47">
        <v>0.018</v>
      </c>
    </row>
    <row r="314" spans="1:9" s="6" customFormat="1" ht="35.25" customHeight="1">
      <c r="A314" s="116" t="s">
        <v>144</v>
      </c>
      <c r="B314" s="72" t="s">
        <v>41</v>
      </c>
      <c r="C314" s="47">
        <v>0.901</v>
      </c>
      <c r="D314" s="47">
        <v>0.713</v>
      </c>
      <c r="E314" s="75">
        <v>0.62</v>
      </c>
      <c r="F314" s="75">
        <v>0.619</v>
      </c>
      <c r="G314" s="75">
        <v>0.615</v>
      </c>
      <c r="H314" s="75">
        <v>0.609</v>
      </c>
      <c r="I314" s="47">
        <v>0.609</v>
      </c>
    </row>
    <row r="315" spans="1:9" s="6" customFormat="1" ht="50.25" customHeight="1">
      <c r="A315" s="116" t="s">
        <v>145</v>
      </c>
      <c r="B315" s="72" t="s">
        <v>41</v>
      </c>
      <c r="C315" s="76">
        <v>0</v>
      </c>
      <c r="D315" s="47">
        <v>0.081</v>
      </c>
      <c r="E315" s="75">
        <v>0.007</v>
      </c>
      <c r="F315" s="75">
        <v>0.066</v>
      </c>
      <c r="G315" s="75">
        <v>0.076</v>
      </c>
      <c r="H315" s="75">
        <v>0.02</v>
      </c>
      <c r="I315" s="47">
        <v>0.007</v>
      </c>
    </row>
    <row r="316" spans="1:9" s="6" customFormat="1" ht="37.5" customHeight="1">
      <c r="A316" s="116" t="s">
        <v>146</v>
      </c>
      <c r="B316" s="72" t="s">
        <v>41</v>
      </c>
      <c r="C316" s="75">
        <v>9.541</v>
      </c>
      <c r="D316" s="75">
        <v>8.8</v>
      </c>
      <c r="E316" s="47">
        <v>8.566</v>
      </c>
      <c r="F316" s="47">
        <v>8.388</v>
      </c>
      <c r="G316" s="47">
        <v>8.404</v>
      </c>
      <c r="H316" s="47">
        <v>8.401</v>
      </c>
      <c r="I316" s="47">
        <v>8.408</v>
      </c>
    </row>
    <row r="317" spans="1:9" s="6" customFormat="1" ht="20.25" customHeight="1">
      <c r="A317" s="116" t="s">
        <v>147</v>
      </c>
      <c r="B317" s="72" t="s">
        <v>41</v>
      </c>
      <c r="C317" s="77"/>
      <c r="D317" s="77"/>
      <c r="E317" s="47"/>
      <c r="F317" s="47"/>
      <c r="G317" s="47"/>
      <c r="H317" s="47"/>
      <c r="I317" s="47"/>
    </row>
    <row r="318" spans="1:9" s="6" customFormat="1" ht="67.5" customHeight="1">
      <c r="A318" s="107" t="s">
        <v>148</v>
      </c>
      <c r="B318" s="72" t="s">
        <v>41</v>
      </c>
      <c r="C318" s="47">
        <v>0.023</v>
      </c>
      <c r="D318" s="47">
        <v>0.027</v>
      </c>
      <c r="E318" s="47">
        <v>0.026</v>
      </c>
      <c r="F318" s="47">
        <v>0.031</v>
      </c>
      <c r="G318" s="47">
        <v>0.036</v>
      </c>
      <c r="H318" s="47">
        <v>0.036</v>
      </c>
      <c r="I318" s="47">
        <v>0.036</v>
      </c>
    </row>
    <row r="319" spans="1:9" s="6" customFormat="1" ht="34.5" customHeight="1">
      <c r="A319" s="107" t="s">
        <v>149</v>
      </c>
      <c r="B319" s="72" t="s">
        <v>41</v>
      </c>
      <c r="C319" s="47">
        <v>2.785</v>
      </c>
      <c r="D319" s="47">
        <v>2.121</v>
      </c>
      <c r="E319" s="47">
        <v>2.062</v>
      </c>
      <c r="F319" s="76">
        <v>1.86</v>
      </c>
      <c r="G319" s="47">
        <v>1.867</v>
      </c>
      <c r="H319" s="47">
        <v>1.865</v>
      </c>
      <c r="I319" s="47">
        <v>1.866</v>
      </c>
    </row>
    <row r="320" spans="1:9" s="6" customFormat="1" ht="102.75" customHeight="1">
      <c r="A320" s="107" t="s">
        <v>150</v>
      </c>
      <c r="B320" s="72" t="s">
        <v>41</v>
      </c>
      <c r="C320" s="47">
        <v>6.733</v>
      </c>
      <c r="D320" s="47">
        <v>6.562</v>
      </c>
      <c r="E320" s="47">
        <v>6.478</v>
      </c>
      <c r="F320" s="47">
        <v>6.497</v>
      </c>
      <c r="G320" s="47">
        <v>6.501</v>
      </c>
      <c r="H320" s="76">
        <v>6.5</v>
      </c>
      <c r="I320" s="47">
        <v>6.506</v>
      </c>
    </row>
    <row r="321" spans="1:9" s="6" customFormat="1" ht="53.25" customHeight="1">
      <c r="A321" s="99" t="s">
        <v>151</v>
      </c>
      <c r="B321" s="72" t="s">
        <v>41</v>
      </c>
      <c r="C321" s="47">
        <v>7.822</v>
      </c>
      <c r="D321" s="47">
        <v>7.645</v>
      </c>
      <c r="E321" s="47">
        <v>7.131</v>
      </c>
      <c r="F321" s="47">
        <v>7.076</v>
      </c>
      <c r="G321" s="47">
        <v>7.058</v>
      </c>
      <c r="H321" s="47">
        <v>7.068</v>
      </c>
      <c r="I321" s="76">
        <v>7.08</v>
      </c>
    </row>
    <row r="322" spans="1:9" s="6" customFormat="1" ht="66" customHeight="1">
      <c r="A322" s="99" t="s">
        <v>157</v>
      </c>
      <c r="B322" s="72" t="s">
        <v>42</v>
      </c>
      <c r="C322" s="47">
        <v>726</v>
      </c>
      <c r="D322" s="47">
        <v>711</v>
      </c>
      <c r="E322" s="47">
        <v>811</v>
      </c>
      <c r="F322" s="47">
        <v>730</v>
      </c>
      <c r="G322" s="47">
        <v>750</v>
      </c>
      <c r="H322" s="47">
        <v>730</v>
      </c>
      <c r="I322" s="47">
        <v>740</v>
      </c>
    </row>
    <row r="323" spans="1:9" s="6" customFormat="1" ht="83.25" customHeight="1">
      <c r="A323" s="99" t="s">
        <v>158</v>
      </c>
      <c r="B323" s="72" t="s">
        <v>5</v>
      </c>
      <c r="C323" s="47">
        <v>3.3</v>
      </c>
      <c r="D323" s="47">
        <v>3.2</v>
      </c>
      <c r="E323" s="47">
        <v>3.5</v>
      </c>
      <c r="F323" s="47">
        <v>3.3</v>
      </c>
      <c r="G323" s="47">
        <v>3.4</v>
      </c>
      <c r="H323" s="47">
        <v>3.3</v>
      </c>
      <c r="I323" s="47">
        <v>3.3</v>
      </c>
    </row>
    <row r="324" spans="1:9" s="9" customFormat="1" ht="39.75" customHeight="1">
      <c r="A324" s="99" t="s">
        <v>159</v>
      </c>
      <c r="B324" s="72" t="s">
        <v>32</v>
      </c>
      <c r="C324" s="114">
        <v>2913153.3</v>
      </c>
      <c r="D324" s="114">
        <v>3101064.6</v>
      </c>
      <c r="E324" s="114">
        <v>2947467.9</v>
      </c>
      <c r="F324" s="114">
        <v>2948872</v>
      </c>
      <c r="G324" s="114">
        <v>2976590</v>
      </c>
      <c r="H324" s="114">
        <v>2985570</v>
      </c>
      <c r="I324" s="114">
        <v>2994520</v>
      </c>
    </row>
    <row r="325" spans="1:9" s="6" customFormat="1" ht="59.25" customHeight="1">
      <c r="A325" s="99" t="s">
        <v>264</v>
      </c>
      <c r="B325" s="72" t="s">
        <v>43</v>
      </c>
      <c r="C325" s="113">
        <v>31035.9</v>
      </c>
      <c r="D325" s="113">
        <f aca="true" t="shared" si="18" ref="D325:I325">D324/12/D321</f>
        <v>33802.753433616745</v>
      </c>
      <c r="E325" s="113">
        <f t="shared" si="18"/>
        <v>34444.30304305146</v>
      </c>
      <c r="F325" s="113">
        <f t="shared" si="18"/>
        <v>34728.56604484643</v>
      </c>
      <c r="G325" s="113">
        <f t="shared" si="18"/>
        <v>35144.39879097006</v>
      </c>
      <c r="H325" s="113">
        <f t="shared" si="18"/>
        <v>35200.551782682516</v>
      </c>
      <c r="I325" s="113">
        <f t="shared" si="18"/>
        <v>35246.233521657254</v>
      </c>
    </row>
    <row r="326" spans="1:9" s="20" customFormat="1" ht="21" customHeight="1">
      <c r="A326" s="162" t="s">
        <v>39</v>
      </c>
      <c r="B326" s="162"/>
      <c r="C326" s="162"/>
      <c r="D326" s="162"/>
      <c r="E326" s="162"/>
      <c r="F326" s="162"/>
      <c r="G326" s="162"/>
      <c r="H326" s="162"/>
      <c r="I326" s="162"/>
    </row>
    <row r="327" spans="1:9" s="5" customFormat="1" ht="40.5" customHeight="1">
      <c r="A327" s="16" t="s">
        <v>119</v>
      </c>
      <c r="B327" s="39" t="s">
        <v>6</v>
      </c>
      <c r="C327" s="55">
        <v>9.83</v>
      </c>
      <c r="D327" s="56">
        <v>21.6</v>
      </c>
      <c r="E327" s="55">
        <v>8.465</v>
      </c>
      <c r="F327" s="55">
        <v>9.125</v>
      </c>
      <c r="G327" s="55">
        <v>8.99</v>
      </c>
      <c r="H327" s="55">
        <v>9.362</v>
      </c>
      <c r="I327" s="55">
        <v>9.499</v>
      </c>
    </row>
    <row r="328" spans="1:9" s="5" customFormat="1" ht="59.25" customHeight="1">
      <c r="A328" s="16" t="s">
        <v>40</v>
      </c>
      <c r="B328" s="39" t="s">
        <v>6</v>
      </c>
      <c r="C328" s="55">
        <v>-4.687</v>
      </c>
      <c r="D328" s="56">
        <v>20.64</v>
      </c>
      <c r="E328" s="55">
        <f>E327-15.003</f>
        <v>-6.538</v>
      </c>
      <c r="F328" s="55">
        <v>-0.355</v>
      </c>
      <c r="G328" s="55">
        <v>1.506</v>
      </c>
      <c r="H328" s="55">
        <v>3.182</v>
      </c>
      <c r="I328" s="55">
        <v>4.753</v>
      </c>
    </row>
    <row r="329" spans="1:9" s="8" customFormat="1" ht="21" customHeight="1">
      <c r="A329" s="162" t="s">
        <v>111</v>
      </c>
      <c r="B329" s="162"/>
      <c r="C329" s="162"/>
      <c r="D329" s="162"/>
      <c r="E329" s="162"/>
      <c r="F329" s="162"/>
      <c r="G329" s="162"/>
      <c r="H329" s="162"/>
      <c r="I329" s="162"/>
    </row>
    <row r="330" spans="1:9" ht="48" customHeight="1">
      <c r="A330" s="99" t="s">
        <v>239</v>
      </c>
      <c r="B330" s="72" t="s">
        <v>37</v>
      </c>
      <c r="C330" s="47">
        <v>1</v>
      </c>
      <c r="D330" s="47">
        <v>1</v>
      </c>
      <c r="E330" s="47">
        <v>1</v>
      </c>
      <c r="F330" s="47">
        <v>1</v>
      </c>
      <c r="G330" s="47">
        <v>1</v>
      </c>
      <c r="H330" s="47">
        <v>1</v>
      </c>
      <c r="I330" s="47">
        <v>1</v>
      </c>
    </row>
    <row r="331" spans="1:9" ht="33.75" customHeight="1">
      <c r="A331" s="99" t="s">
        <v>240</v>
      </c>
      <c r="B331" s="72" t="s">
        <v>37</v>
      </c>
      <c r="C331" s="47">
        <v>239</v>
      </c>
      <c r="D331" s="47">
        <v>233</v>
      </c>
      <c r="E331" s="47">
        <v>227</v>
      </c>
      <c r="F331" s="47">
        <v>227</v>
      </c>
      <c r="G331" s="47">
        <v>227</v>
      </c>
      <c r="H331" s="47">
        <v>233</v>
      </c>
      <c r="I331" s="47">
        <v>236</v>
      </c>
    </row>
    <row r="332" spans="1:9" ht="33.75" customHeight="1">
      <c r="A332" s="99" t="s">
        <v>241</v>
      </c>
      <c r="B332" s="72" t="s">
        <v>37</v>
      </c>
      <c r="C332" s="47"/>
      <c r="D332" s="47"/>
      <c r="E332" s="47"/>
      <c r="F332" s="47"/>
      <c r="G332" s="47"/>
      <c r="H332" s="47"/>
      <c r="I332" s="47"/>
    </row>
    <row r="333" spans="1:9" ht="54" customHeight="1">
      <c r="A333" s="99" t="s">
        <v>242</v>
      </c>
      <c r="B333" s="72" t="s">
        <v>37</v>
      </c>
      <c r="C333" s="47">
        <v>847</v>
      </c>
      <c r="D333" s="47">
        <v>859</v>
      </c>
      <c r="E333" s="47">
        <v>826</v>
      </c>
      <c r="F333" s="47">
        <v>836</v>
      </c>
      <c r="G333" s="47">
        <v>836</v>
      </c>
      <c r="H333" s="47">
        <v>841</v>
      </c>
      <c r="I333" s="47">
        <v>846</v>
      </c>
    </row>
    <row r="334" spans="1:9" ht="39" customHeight="1">
      <c r="A334" s="99" t="s">
        <v>243</v>
      </c>
      <c r="B334" s="72" t="s">
        <v>32</v>
      </c>
      <c r="C334" s="113">
        <v>370477</v>
      </c>
      <c r="D334" s="113">
        <v>452071</v>
      </c>
      <c r="E334" s="113">
        <v>525737.7</v>
      </c>
      <c r="F334" s="113">
        <v>525737.7</v>
      </c>
      <c r="G334" s="113">
        <v>529943.6</v>
      </c>
      <c r="H334" s="113">
        <v>535243</v>
      </c>
      <c r="I334" s="113">
        <v>540595.4</v>
      </c>
    </row>
    <row r="335" spans="1:9" ht="32.25" customHeight="1">
      <c r="A335" s="99" t="s">
        <v>244</v>
      </c>
      <c r="B335" s="72" t="s">
        <v>32</v>
      </c>
      <c r="C335" s="114">
        <v>2334600</v>
      </c>
      <c r="D335" s="114">
        <v>2370700</v>
      </c>
      <c r="E335" s="114">
        <v>2356477.1</v>
      </c>
      <c r="F335" s="114">
        <v>2356477.1</v>
      </c>
      <c r="G335" s="114">
        <v>2375328.9</v>
      </c>
      <c r="H335" s="114">
        <v>2418084.8</v>
      </c>
      <c r="I335" s="114">
        <v>2442265.6</v>
      </c>
    </row>
    <row r="336" spans="1:9" ht="31.5">
      <c r="A336" s="99" t="s">
        <v>245</v>
      </c>
      <c r="B336" s="72" t="s">
        <v>32</v>
      </c>
      <c r="C336" s="47">
        <v>0</v>
      </c>
      <c r="D336" s="47">
        <v>0</v>
      </c>
      <c r="E336" s="47">
        <v>0</v>
      </c>
      <c r="F336" s="47">
        <v>0</v>
      </c>
      <c r="G336" s="47">
        <v>0</v>
      </c>
      <c r="H336" s="47">
        <v>0</v>
      </c>
      <c r="I336" s="47">
        <v>0</v>
      </c>
    </row>
    <row r="337" spans="1:9" ht="66" customHeight="1">
      <c r="A337" s="99" t="s">
        <v>246</v>
      </c>
      <c r="B337" s="72" t="s">
        <v>32</v>
      </c>
      <c r="C337" s="114">
        <v>1918908</v>
      </c>
      <c r="D337" s="114">
        <v>2035767.6</v>
      </c>
      <c r="E337" s="114">
        <v>2133659.2</v>
      </c>
      <c r="F337" s="114">
        <v>2133659.2</v>
      </c>
      <c r="G337" s="114">
        <v>2150728.5</v>
      </c>
      <c r="H337" s="114">
        <v>2172235.8</v>
      </c>
      <c r="I337" s="114">
        <v>2193958.1</v>
      </c>
    </row>
    <row r="338" spans="1:9" ht="51.75" customHeight="1">
      <c r="A338" s="99" t="s">
        <v>247</v>
      </c>
      <c r="B338" s="72" t="s">
        <v>250</v>
      </c>
      <c r="C338" s="47">
        <v>235</v>
      </c>
      <c r="D338" s="47">
        <v>211</v>
      </c>
      <c r="E338" s="47">
        <v>204</v>
      </c>
      <c r="F338" s="47">
        <v>204</v>
      </c>
      <c r="G338" s="47">
        <v>210</v>
      </c>
      <c r="H338" s="47">
        <v>220</v>
      </c>
      <c r="I338" s="47">
        <v>220</v>
      </c>
    </row>
    <row r="339" spans="1:9" ht="51.75" customHeight="1">
      <c r="A339" s="99" t="s">
        <v>180</v>
      </c>
      <c r="B339" s="72" t="s">
        <v>250</v>
      </c>
      <c r="C339" s="47">
        <v>1068</v>
      </c>
      <c r="D339" s="47">
        <v>1077</v>
      </c>
      <c r="E339" s="47">
        <v>1051</v>
      </c>
      <c r="F339" s="47">
        <v>1045</v>
      </c>
      <c r="G339" s="47">
        <v>1045</v>
      </c>
      <c r="H339" s="47">
        <v>1051</v>
      </c>
      <c r="I339" s="47">
        <v>1061</v>
      </c>
    </row>
    <row r="340" spans="1:9" ht="72.75" customHeight="1">
      <c r="A340" s="99" t="s">
        <v>248</v>
      </c>
      <c r="B340" s="72" t="s">
        <v>250</v>
      </c>
      <c r="C340" s="47">
        <v>0</v>
      </c>
      <c r="D340" s="47">
        <v>0</v>
      </c>
      <c r="E340" s="47">
        <v>0</v>
      </c>
      <c r="F340" s="47">
        <v>0</v>
      </c>
      <c r="G340" s="47">
        <v>0</v>
      </c>
      <c r="H340" s="47">
        <v>0</v>
      </c>
      <c r="I340" s="47">
        <v>0</v>
      </c>
    </row>
    <row r="341" spans="1:9" ht="69" customHeight="1">
      <c r="A341" s="99" t="s">
        <v>249</v>
      </c>
      <c r="B341" s="72" t="s">
        <v>250</v>
      </c>
      <c r="C341" s="47">
        <v>2591</v>
      </c>
      <c r="D341" s="47">
        <v>2316</v>
      </c>
      <c r="E341" s="47">
        <v>2205</v>
      </c>
      <c r="F341" s="47">
        <v>2205</v>
      </c>
      <c r="G341" s="47">
        <v>2205</v>
      </c>
      <c r="H341" s="47">
        <v>2205</v>
      </c>
      <c r="I341" s="47">
        <v>2215</v>
      </c>
    </row>
    <row r="342" spans="1:9" s="20" customFormat="1" ht="21" customHeight="1">
      <c r="A342" s="162" t="s">
        <v>112</v>
      </c>
      <c r="B342" s="162"/>
      <c r="C342" s="162"/>
      <c r="D342" s="162"/>
      <c r="E342" s="162"/>
      <c r="F342" s="162"/>
      <c r="G342" s="162"/>
      <c r="H342" s="162"/>
      <c r="I342" s="162"/>
    </row>
    <row r="343" spans="1:9" s="6" customFormat="1" ht="16.5" customHeight="1">
      <c r="A343" s="136" t="s">
        <v>53</v>
      </c>
      <c r="B343" s="72"/>
      <c r="C343" s="52"/>
      <c r="D343" s="52"/>
      <c r="E343" s="52"/>
      <c r="F343" s="52"/>
      <c r="G343" s="52"/>
      <c r="H343" s="52"/>
      <c r="I343" s="52"/>
    </row>
    <row r="344" spans="1:9" s="6" customFormat="1" ht="36" customHeight="1">
      <c r="A344" s="99" t="s">
        <v>178</v>
      </c>
      <c r="B344" s="72" t="s">
        <v>5</v>
      </c>
      <c r="C344" s="52">
        <v>60</v>
      </c>
      <c r="D344" s="52">
        <v>61</v>
      </c>
      <c r="E344" s="52">
        <v>61</v>
      </c>
      <c r="F344" s="52">
        <v>60</v>
      </c>
      <c r="G344" s="52">
        <v>60</v>
      </c>
      <c r="H344" s="52">
        <v>60</v>
      </c>
      <c r="I344" s="52">
        <v>60</v>
      </c>
    </row>
    <row r="345" spans="1:9" s="6" customFormat="1" ht="43.5" customHeight="1">
      <c r="A345" s="99" t="s">
        <v>161</v>
      </c>
      <c r="B345" s="72" t="s">
        <v>48</v>
      </c>
      <c r="C345" s="52">
        <v>74.4</v>
      </c>
      <c r="D345" s="52">
        <v>65.1</v>
      </c>
      <c r="E345" s="52">
        <v>65.6</v>
      </c>
      <c r="F345" s="52">
        <v>65.9</v>
      </c>
      <c r="G345" s="52">
        <v>66.4</v>
      </c>
      <c r="H345" s="53">
        <v>67</v>
      </c>
      <c r="I345" s="52">
        <v>67.2</v>
      </c>
    </row>
    <row r="346" spans="1:9" s="6" customFormat="1" ht="51" customHeight="1">
      <c r="A346" s="99" t="s">
        <v>162</v>
      </c>
      <c r="B346" s="72" t="s">
        <v>48</v>
      </c>
      <c r="C346" s="52">
        <v>32.5</v>
      </c>
      <c r="D346" s="53">
        <v>30</v>
      </c>
      <c r="E346" s="52">
        <v>30.2</v>
      </c>
      <c r="F346" s="52">
        <v>30.4</v>
      </c>
      <c r="G346" s="52">
        <v>30.6</v>
      </c>
      <c r="H346" s="52">
        <v>30.9</v>
      </c>
      <c r="I346" s="53">
        <v>31</v>
      </c>
    </row>
    <row r="347" spans="1:9" s="6" customFormat="1" ht="39.75" customHeight="1">
      <c r="A347" s="99" t="s">
        <v>163</v>
      </c>
      <c r="B347" s="72" t="s">
        <v>48</v>
      </c>
      <c r="C347" s="52">
        <v>1.3</v>
      </c>
      <c r="D347" s="52">
        <v>1.3</v>
      </c>
      <c r="E347" s="52">
        <v>1.3</v>
      </c>
      <c r="F347" s="52">
        <v>1.3</v>
      </c>
      <c r="G347" s="52">
        <v>1.3</v>
      </c>
      <c r="H347" s="52">
        <v>1.3</v>
      </c>
      <c r="I347" s="52">
        <v>1.3</v>
      </c>
    </row>
    <row r="348" spans="1:9" s="6" customFormat="1" ht="54" customHeight="1">
      <c r="A348" s="99" t="s">
        <v>164</v>
      </c>
      <c r="B348" s="72" t="s">
        <v>49</v>
      </c>
      <c r="C348" s="53">
        <v>231</v>
      </c>
      <c r="D348" s="52">
        <v>254.6</v>
      </c>
      <c r="E348" s="52">
        <v>253.2</v>
      </c>
      <c r="F348" s="53">
        <v>254.4</v>
      </c>
      <c r="G348" s="53">
        <v>256.1</v>
      </c>
      <c r="H348" s="53">
        <v>258.8</v>
      </c>
      <c r="I348" s="53">
        <v>259.5</v>
      </c>
    </row>
    <row r="349" spans="1:9" s="6" customFormat="1" ht="39.75" customHeight="1">
      <c r="A349" s="99" t="s">
        <v>165</v>
      </c>
      <c r="B349" s="72" t="s">
        <v>50</v>
      </c>
      <c r="C349" s="52">
        <v>31.7</v>
      </c>
      <c r="D349" s="52">
        <v>33.5</v>
      </c>
      <c r="E349" s="52">
        <v>35.4</v>
      </c>
      <c r="F349" s="52">
        <v>35.8</v>
      </c>
      <c r="G349" s="52">
        <v>36.1</v>
      </c>
      <c r="H349" s="52">
        <v>36.4</v>
      </c>
      <c r="I349" s="52">
        <v>36.5</v>
      </c>
    </row>
    <row r="350" spans="1:9" s="6" customFormat="1" ht="40.5" customHeight="1">
      <c r="A350" s="99" t="s">
        <v>166</v>
      </c>
      <c r="B350" s="72" t="s">
        <v>50</v>
      </c>
      <c r="C350" s="52">
        <v>130.6</v>
      </c>
      <c r="D350" s="52">
        <v>130.5</v>
      </c>
      <c r="E350" s="52">
        <v>134.8</v>
      </c>
      <c r="F350" s="52">
        <v>136.7</v>
      </c>
      <c r="G350" s="52">
        <v>137.8</v>
      </c>
      <c r="H350" s="52">
        <v>139.1</v>
      </c>
      <c r="I350" s="52">
        <v>139.4</v>
      </c>
    </row>
    <row r="351" spans="1:9" s="6" customFormat="1" ht="49.5" customHeight="1">
      <c r="A351" s="99" t="s">
        <v>167</v>
      </c>
      <c r="B351" s="72" t="s">
        <v>51</v>
      </c>
      <c r="C351" s="52">
        <v>20.4</v>
      </c>
      <c r="D351" s="52">
        <v>20.5</v>
      </c>
      <c r="E351" s="52">
        <v>20.7</v>
      </c>
      <c r="F351" s="52">
        <v>20.8</v>
      </c>
      <c r="G351" s="52">
        <v>20.9</v>
      </c>
      <c r="H351" s="53">
        <v>21.1</v>
      </c>
      <c r="I351" s="52">
        <v>21.2</v>
      </c>
    </row>
    <row r="352" spans="1:9" s="6" customFormat="1" ht="27" customHeight="1">
      <c r="A352" s="99" t="s">
        <v>168</v>
      </c>
      <c r="B352" s="72" t="s">
        <v>37</v>
      </c>
      <c r="C352" s="52">
        <v>8</v>
      </c>
      <c r="D352" s="52">
        <v>8</v>
      </c>
      <c r="E352" s="52">
        <v>26</v>
      </c>
      <c r="F352" s="52">
        <v>26</v>
      </c>
      <c r="G352" s="52">
        <v>26</v>
      </c>
      <c r="H352" s="52">
        <v>26</v>
      </c>
      <c r="I352" s="52">
        <v>26</v>
      </c>
    </row>
    <row r="353" spans="1:9" s="6" customFormat="1" ht="36" customHeight="1">
      <c r="A353" s="99" t="s">
        <v>169</v>
      </c>
      <c r="B353" s="72" t="s">
        <v>37</v>
      </c>
      <c r="C353" s="52">
        <v>18</v>
      </c>
      <c r="D353" s="52">
        <v>18</v>
      </c>
      <c r="E353" s="52">
        <v>17</v>
      </c>
      <c r="F353" s="52">
        <v>17</v>
      </c>
      <c r="G353" s="52">
        <v>17</v>
      </c>
      <c r="H353" s="52">
        <v>17</v>
      </c>
      <c r="I353" s="52">
        <v>17</v>
      </c>
    </row>
    <row r="354" spans="1:9" s="6" customFormat="1" ht="32.25" customHeight="1">
      <c r="A354" s="99" t="s">
        <v>170</v>
      </c>
      <c r="B354" s="72" t="s">
        <v>104</v>
      </c>
      <c r="C354" s="52">
        <v>1.4</v>
      </c>
      <c r="D354" s="52">
        <v>1.5</v>
      </c>
      <c r="E354" s="52">
        <v>1.5</v>
      </c>
      <c r="F354" s="52">
        <v>1.5</v>
      </c>
      <c r="G354" s="52">
        <v>1.5</v>
      </c>
      <c r="H354" s="52">
        <v>1.5</v>
      </c>
      <c r="I354" s="52">
        <v>1.8</v>
      </c>
    </row>
    <row r="355" spans="1:9" s="6" customFormat="1" ht="35.25" customHeight="1">
      <c r="A355" s="99" t="s">
        <v>171</v>
      </c>
      <c r="B355" s="72" t="s">
        <v>105</v>
      </c>
      <c r="C355" s="78">
        <v>9699</v>
      </c>
      <c r="D355" s="78">
        <v>9773.6</v>
      </c>
      <c r="E355" s="78">
        <v>9840.7</v>
      </c>
      <c r="F355" s="78">
        <v>9887.7</v>
      </c>
      <c r="G355" s="78">
        <v>9952.2</v>
      </c>
      <c r="H355" s="78">
        <v>10057.3</v>
      </c>
      <c r="I355" s="78">
        <v>10083.9</v>
      </c>
    </row>
    <row r="356" spans="1:9" s="6" customFormat="1" ht="66" customHeight="1">
      <c r="A356" s="99" t="s">
        <v>172</v>
      </c>
      <c r="B356" s="72" t="s">
        <v>106</v>
      </c>
      <c r="C356" s="52">
        <v>50.9</v>
      </c>
      <c r="D356" s="52">
        <v>51.4</v>
      </c>
      <c r="E356" s="52">
        <v>51.6</v>
      </c>
      <c r="F356" s="52">
        <v>51.9</v>
      </c>
      <c r="G356" s="52">
        <v>52.2</v>
      </c>
      <c r="H356" s="52">
        <v>52.8</v>
      </c>
      <c r="I356" s="52">
        <v>52.9</v>
      </c>
    </row>
    <row r="357" spans="1:9" s="6" customFormat="1" ht="101.25" customHeight="1">
      <c r="A357" s="99" t="s">
        <v>52</v>
      </c>
      <c r="B357" s="72" t="s">
        <v>5</v>
      </c>
      <c r="C357" s="52">
        <v>82</v>
      </c>
      <c r="D357" s="52">
        <v>82</v>
      </c>
      <c r="E357" s="52">
        <v>80</v>
      </c>
      <c r="F357" s="52">
        <v>81</v>
      </c>
      <c r="G357" s="52">
        <v>86</v>
      </c>
      <c r="H357" s="52">
        <v>85</v>
      </c>
      <c r="I357" s="52">
        <v>78</v>
      </c>
    </row>
    <row r="358" spans="1:9" s="6" customFormat="1" ht="16.5" customHeight="1">
      <c r="A358" s="136" t="s">
        <v>14</v>
      </c>
      <c r="B358" s="72"/>
      <c r="C358" s="52"/>
      <c r="D358" s="52"/>
      <c r="E358" s="52"/>
      <c r="F358" s="52"/>
      <c r="G358" s="52"/>
      <c r="H358" s="52"/>
      <c r="I358" s="52"/>
    </row>
    <row r="359" spans="1:9" s="6" customFormat="1" ht="23.25" customHeight="1">
      <c r="A359" s="136" t="s">
        <v>173</v>
      </c>
      <c r="B359" s="72" t="s">
        <v>5</v>
      </c>
      <c r="C359" s="52">
        <v>73</v>
      </c>
      <c r="D359" s="52">
        <v>71</v>
      </c>
      <c r="E359" s="52">
        <v>71</v>
      </c>
      <c r="F359" s="52">
        <v>71</v>
      </c>
      <c r="G359" s="52">
        <v>78</v>
      </c>
      <c r="H359" s="52">
        <v>77</v>
      </c>
      <c r="I359" s="52">
        <v>69</v>
      </c>
    </row>
    <row r="360" spans="1:9" s="6" customFormat="1" ht="26.25" customHeight="1">
      <c r="A360" s="136" t="s">
        <v>174</v>
      </c>
      <c r="B360" s="72" t="s">
        <v>5</v>
      </c>
      <c r="C360" s="52">
        <v>97</v>
      </c>
      <c r="D360" s="52">
        <v>98</v>
      </c>
      <c r="E360" s="52">
        <v>94</v>
      </c>
      <c r="F360" s="52">
        <v>97</v>
      </c>
      <c r="G360" s="52">
        <v>99</v>
      </c>
      <c r="H360" s="52">
        <v>96</v>
      </c>
      <c r="I360" s="52">
        <v>94</v>
      </c>
    </row>
    <row r="361" spans="1:9" s="6" customFormat="1" ht="45.75" customHeight="1">
      <c r="A361" s="99" t="s">
        <v>265</v>
      </c>
      <c r="B361" s="72" t="s">
        <v>220</v>
      </c>
      <c r="C361" s="52">
        <v>0.66</v>
      </c>
      <c r="D361" s="52">
        <v>0.62</v>
      </c>
      <c r="E361" s="52">
        <v>0.6</v>
      </c>
      <c r="F361" s="52">
        <v>0.59</v>
      </c>
      <c r="G361" s="52">
        <v>0.57</v>
      </c>
      <c r="H361" s="52">
        <v>0.62</v>
      </c>
      <c r="I361" s="52">
        <v>0.56</v>
      </c>
    </row>
    <row r="362" spans="1:9" s="21" customFormat="1" ht="23.25" customHeight="1">
      <c r="A362" s="163" t="s">
        <v>193</v>
      </c>
      <c r="B362" s="163"/>
      <c r="C362" s="163"/>
      <c r="D362" s="163"/>
      <c r="E362" s="163"/>
      <c r="F362" s="163"/>
      <c r="G362" s="163"/>
      <c r="H362" s="163"/>
      <c r="I362" s="163"/>
    </row>
    <row r="363" spans="1:9" s="3" customFormat="1" ht="36.75" customHeight="1">
      <c r="A363" s="134" t="s">
        <v>198</v>
      </c>
      <c r="B363" s="135" t="s">
        <v>36</v>
      </c>
      <c r="C363" s="70">
        <v>388</v>
      </c>
      <c r="D363" s="70">
        <f>353+35</f>
        <v>388</v>
      </c>
      <c r="E363" s="70">
        <v>383.7</v>
      </c>
      <c r="F363" s="70">
        <v>383.7</v>
      </c>
      <c r="G363" s="70">
        <v>383.7</v>
      </c>
      <c r="H363" s="70">
        <v>383.7</v>
      </c>
      <c r="I363" s="70">
        <v>383.7</v>
      </c>
    </row>
    <row r="364" spans="1:9" s="3" customFormat="1" ht="15" customHeight="1">
      <c r="A364" s="134" t="s">
        <v>199</v>
      </c>
      <c r="B364" s="135"/>
      <c r="C364" s="70"/>
      <c r="D364" s="70"/>
      <c r="E364" s="48"/>
      <c r="F364" s="48"/>
      <c r="G364" s="48"/>
      <c r="H364" s="79"/>
      <c r="I364" s="80"/>
    </row>
    <row r="365" spans="1:9" s="3" customFormat="1" ht="25.5" customHeight="1">
      <c r="A365" s="134" t="s">
        <v>200</v>
      </c>
      <c r="B365" s="135" t="s">
        <v>36</v>
      </c>
      <c r="C365" s="70">
        <v>388</v>
      </c>
      <c r="D365" s="70">
        <f>353+35</f>
        <v>388</v>
      </c>
      <c r="E365" s="70">
        <v>383.7</v>
      </c>
      <c r="F365" s="70">
        <v>383.7</v>
      </c>
      <c r="G365" s="70">
        <v>383.7</v>
      </c>
      <c r="H365" s="70">
        <v>383.7</v>
      </c>
      <c r="I365" s="70">
        <v>383.7</v>
      </c>
    </row>
    <row r="366" spans="1:9" s="3" customFormat="1" ht="20.25" customHeight="1">
      <c r="A366" s="134" t="s">
        <v>201</v>
      </c>
      <c r="B366" s="135" t="s">
        <v>36</v>
      </c>
      <c r="C366" s="70">
        <v>0</v>
      </c>
      <c r="D366" s="70">
        <v>0</v>
      </c>
      <c r="E366" s="70">
        <v>0</v>
      </c>
      <c r="F366" s="70">
        <v>0</v>
      </c>
      <c r="G366" s="70">
        <v>0</v>
      </c>
      <c r="H366" s="70">
        <v>0</v>
      </c>
      <c r="I366" s="70">
        <v>0</v>
      </c>
    </row>
    <row r="367" spans="1:9" s="3" customFormat="1" ht="53.25" customHeight="1">
      <c r="A367" s="134" t="s">
        <v>202</v>
      </c>
      <c r="B367" s="135" t="s">
        <v>36</v>
      </c>
      <c r="C367" s="70">
        <v>251</v>
      </c>
      <c r="D367" s="70">
        <v>251.8</v>
      </c>
      <c r="E367" s="48">
        <v>297.1</v>
      </c>
      <c r="F367" s="48">
        <v>297.1</v>
      </c>
      <c r="G367" s="48">
        <v>297.1</v>
      </c>
      <c r="H367" s="48">
        <v>297.1</v>
      </c>
      <c r="I367" s="48">
        <v>297.1</v>
      </c>
    </row>
    <row r="368" spans="1:9" s="3" customFormat="1" ht="15.75" customHeight="1">
      <c r="A368" s="134" t="s">
        <v>199</v>
      </c>
      <c r="B368" s="135"/>
      <c r="C368" s="70"/>
      <c r="D368" s="70"/>
      <c r="E368" s="48"/>
      <c r="F368" s="48"/>
      <c r="G368" s="48"/>
      <c r="H368" s="79"/>
      <c r="I368" s="80"/>
    </row>
    <row r="369" spans="1:9" s="3" customFormat="1" ht="19.5" customHeight="1">
      <c r="A369" s="134" t="s">
        <v>200</v>
      </c>
      <c r="B369" s="135" t="s">
        <v>36</v>
      </c>
      <c r="C369" s="70">
        <v>251</v>
      </c>
      <c r="D369" s="70">
        <v>251.8</v>
      </c>
      <c r="E369" s="48">
        <v>297.1</v>
      </c>
      <c r="F369" s="48">
        <v>297.1</v>
      </c>
      <c r="G369" s="48">
        <v>297.1</v>
      </c>
      <c r="H369" s="48">
        <v>297.1</v>
      </c>
      <c r="I369" s="48">
        <v>297.1</v>
      </c>
    </row>
    <row r="370" spans="1:9" s="3" customFormat="1" ht="23.25" customHeight="1">
      <c r="A370" s="134" t="s">
        <v>201</v>
      </c>
      <c r="B370" s="135" t="s">
        <v>36</v>
      </c>
      <c r="C370" s="70">
        <v>0</v>
      </c>
      <c r="D370" s="70">
        <v>0</v>
      </c>
      <c r="E370" s="70">
        <v>0</v>
      </c>
      <c r="F370" s="70">
        <v>0</v>
      </c>
      <c r="G370" s="70">
        <v>0</v>
      </c>
      <c r="H370" s="70">
        <v>0</v>
      </c>
      <c r="I370" s="70">
        <v>0</v>
      </c>
    </row>
    <row r="371" spans="1:9" s="4" customFormat="1" ht="54.75" customHeight="1">
      <c r="A371" s="134" t="s">
        <v>78</v>
      </c>
      <c r="B371" s="135" t="s">
        <v>36</v>
      </c>
      <c r="C371" s="70">
        <v>0</v>
      </c>
      <c r="D371" s="70">
        <v>0</v>
      </c>
      <c r="E371" s="70">
        <v>0</v>
      </c>
      <c r="F371" s="70">
        <v>1</v>
      </c>
      <c r="G371" s="70">
        <v>0</v>
      </c>
      <c r="H371" s="70">
        <v>0</v>
      </c>
      <c r="I371" s="70">
        <v>0</v>
      </c>
    </row>
    <row r="372" spans="1:9" s="20" customFormat="1" ht="21" customHeight="1">
      <c r="A372" s="162" t="s">
        <v>113</v>
      </c>
      <c r="B372" s="162"/>
      <c r="C372" s="162"/>
      <c r="D372" s="162"/>
      <c r="E372" s="162"/>
      <c r="F372" s="162"/>
      <c r="G372" s="162"/>
      <c r="H372" s="162"/>
      <c r="I372" s="162"/>
    </row>
    <row r="373" spans="1:9" s="6" customFormat="1" ht="53.25" customHeight="1">
      <c r="A373" s="85" t="s">
        <v>44</v>
      </c>
      <c r="B373" s="72" t="s">
        <v>152</v>
      </c>
      <c r="C373" s="81">
        <v>7.733</v>
      </c>
      <c r="D373" s="82">
        <v>13.197</v>
      </c>
      <c r="E373" s="81">
        <v>7.345</v>
      </c>
      <c r="F373" s="81">
        <v>7.52</v>
      </c>
      <c r="G373" s="81">
        <v>7.69</v>
      </c>
      <c r="H373" s="81">
        <v>7.7</v>
      </c>
      <c r="I373" s="81">
        <v>8.1</v>
      </c>
    </row>
    <row r="374" spans="1:9" s="6" customFormat="1" ht="18" customHeight="1">
      <c r="A374" s="85" t="s">
        <v>14</v>
      </c>
      <c r="B374" s="72"/>
      <c r="C374" s="47"/>
      <c r="D374" s="47"/>
      <c r="E374" s="47"/>
      <c r="F374" s="47"/>
      <c r="G374" s="47"/>
      <c r="H374" s="47"/>
      <c r="I374" s="47"/>
    </row>
    <row r="375" spans="1:9" s="6" customFormat="1" ht="38.25">
      <c r="A375" s="85" t="s">
        <v>153</v>
      </c>
      <c r="B375" s="72" t="s">
        <v>152</v>
      </c>
      <c r="C375" s="47">
        <v>0</v>
      </c>
      <c r="D375" s="47">
        <v>0</v>
      </c>
      <c r="E375" s="47">
        <v>0</v>
      </c>
      <c r="F375" s="47">
        <v>0</v>
      </c>
      <c r="G375" s="47">
        <v>0</v>
      </c>
      <c r="H375" s="47">
        <v>0</v>
      </c>
      <c r="I375" s="47">
        <v>0</v>
      </c>
    </row>
    <row r="376" spans="1:9" s="6" customFormat="1" ht="51" customHeight="1">
      <c r="A376" s="85" t="s">
        <v>154</v>
      </c>
      <c r="B376" s="72" t="s">
        <v>152</v>
      </c>
      <c r="C376" s="81">
        <v>6.416</v>
      </c>
      <c r="D376" s="82">
        <v>7.137</v>
      </c>
      <c r="E376" s="81">
        <v>7.345</v>
      </c>
      <c r="F376" s="81">
        <v>5.88</v>
      </c>
      <c r="G376" s="81">
        <v>6.19</v>
      </c>
      <c r="H376" s="81">
        <v>6.2</v>
      </c>
      <c r="I376" s="81">
        <v>6.5</v>
      </c>
    </row>
    <row r="377" spans="1:9" s="6" customFormat="1" ht="33.75" customHeight="1">
      <c r="A377" s="85" t="s">
        <v>160</v>
      </c>
      <c r="B377" s="72" t="s">
        <v>155</v>
      </c>
      <c r="C377" s="83">
        <v>81.5</v>
      </c>
      <c r="D377" s="83">
        <v>66.9</v>
      </c>
      <c r="E377" s="83">
        <v>61</v>
      </c>
      <c r="F377" s="83">
        <v>59</v>
      </c>
      <c r="G377" s="83">
        <v>56.5</v>
      </c>
      <c r="H377" s="83">
        <v>55</v>
      </c>
      <c r="I377" s="83">
        <v>53.3</v>
      </c>
    </row>
    <row r="378" spans="1:9" s="6" customFormat="1" ht="16.5" customHeight="1">
      <c r="A378" s="85" t="s">
        <v>14</v>
      </c>
      <c r="B378" s="72"/>
      <c r="C378" s="66"/>
      <c r="D378" s="66"/>
      <c r="E378" s="66"/>
      <c r="F378" s="66"/>
      <c r="G378" s="66"/>
      <c r="H378" s="66"/>
      <c r="I378" s="66"/>
    </row>
    <row r="379" spans="1:9" s="6" customFormat="1" ht="33.75" customHeight="1">
      <c r="A379" s="85" t="s">
        <v>156</v>
      </c>
      <c r="B379" s="72" t="s">
        <v>155</v>
      </c>
      <c r="C379" s="70">
        <v>59.1</v>
      </c>
      <c r="D379" s="70">
        <v>20.3</v>
      </c>
      <c r="E379" s="83">
        <v>17.8</v>
      </c>
      <c r="F379" s="83">
        <v>17.1</v>
      </c>
      <c r="G379" s="83">
        <v>15.8</v>
      </c>
      <c r="H379" s="83">
        <v>14</v>
      </c>
      <c r="I379" s="83">
        <v>12.5</v>
      </c>
    </row>
    <row r="380" spans="1:9" s="6" customFormat="1" ht="51.75" customHeight="1">
      <c r="A380" s="85" t="s">
        <v>45</v>
      </c>
      <c r="B380" s="72" t="s">
        <v>46</v>
      </c>
      <c r="C380" s="70">
        <v>26.1</v>
      </c>
      <c r="D380" s="70">
        <v>26.7</v>
      </c>
      <c r="E380" s="70">
        <v>26.8</v>
      </c>
      <c r="F380" s="70">
        <v>27.1</v>
      </c>
      <c r="G380" s="70">
        <v>27.3</v>
      </c>
      <c r="H380" s="70">
        <v>27.8</v>
      </c>
      <c r="I380" s="70">
        <v>28</v>
      </c>
    </row>
    <row r="381" spans="1:9" s="6" customFormat="1" ht="67.5" customHeight="1">
      <c r="A381" s="85" t="s">
        <v>254</v>
      </c>
      <c r="B381" s="72" t="s">
        <v>124</v>
      </c>
      <c r="C381" s="48">
        <v>50</v>
      </c>
      <c r="D381" s="48">
        <v>53</v>
      </c>
      <c r="E381" s="48">
        <v>58</v>
      </c>
      <c r="F381" s="48">
        <v>57</v>
      </c>
      <c r="G381" s="48">
        <v>57</v>
      </c>
      <c r="H381" s="48">
        <v>57</v>
      </c>
      <c r="I381" s="48">
        <v>57</v>
      </c>
    </row>
    <row r="382" spans="1:9" s="6" customFormat="1" ht="66.75" customHeight="1">
      <c r="A382" s="85" t="s">
        <v>251</v>
      </c>
      <c r="B382" s="72" t="s">
        <v>256</v>
      </c>
      <c r="C382" s="48">
        <v>1.45</v>
      </c>
      <c r="D382" s="48">
        <v>1.63</v>
      </c>
      <c r="E382" s="48">
        <v>1.203</v>
      </c>
      <c r="F382" s="48">
        <v>1.2</v>
      </c>
      <c r="G382" s="48">
        <v>1.2</v>
      </c>
      <c r="H382" s="48">
        <v>1.2</v>
      </c>
      <c r="I382" s="48">
        <v>1.2</v>
      </c>
    </row>
    <row r="383" spans="1:9" s="6" customFormat="1" ht="48" customHeight="1">
      <c r="A383" s="108" t="s">
        <v>252</v>
      </c>
      <c r="B383" s="72" t="s">
        <v>5</v>
      </c>
      <c r="C383" s="48">
        <v>100</v>
      </c>
      <c r="D383" s="48">
        <v>100</v>
      </c>
      <c r="E383" s="48">
        <v>100</v>
      </c>
      <c r="F383" s="48">
        <v>100</v>
      </c>
      <c r="G383" s="48">
        <v>100</v>
      </c>
      <c r="H383" s="48">
        <v>100</v>
      </c>
      <c r="I383" s="48">
        <v>100</v>
      </c>
    </row>
    <row r="384" spans="1:9" s="6" customFormat="1" ht="50.25" customHeight="1">
      <c r="A384" s="85" t="s">
        <v>179</v>
      </c>
      <c r="B384" s="72" t="s">
        <v>181</v>
      </c>
      <c r="C384" s="48">
        <v>0</v>
      </c>
      <c r="D384" s="48">
        <v>0</v>
      </c>
      <c r="E384" s="84">
        <f>0.603/E389/1000</f>
        <v>1.5546646384695704E-05</v>
      </c>
      <c r="F384" s="84">
        <f>7.018/F389/1000</f>
        <v>0.00018161585839242278</v>
      </c>
      <c r="G384" s="84">
        <f>8.763/G389/1000</f>
        <v>0.00022879895561357704</v>
      </c>
      <c r="H384" s="84">
        <f>6.283/H389/1000</f>
        <v>0.00016490813648293968</v>
      </c>
      <c r="I384" s="84">
        <f>7.258/I389/1000</f>
        <v>0.00019175693527080583</v>
      </c>
    </row>
    <row r="385" spans="1:9" s="6" customFormat="1" ht="52.5" customHeight="1">
      <c r="A385" s="108" t="s">
        <v>47</v>
      </c>
      <c r="B385" s="109" t="s">
        <v>232</v>
      </c>
      <c r="C385" s="48">
        <v>423.67</v>
      </c>
      <c r="D385" s="48">
        <v>408.72</v>
      </c>
      <c r="E385" s="70">
        <v>400.8</v>
      </c>
      <c r="F385" s="70">
        <v>420.9</v>
      </c>
      <c r="G385" s="70">
        <v>435.6</v>
      </c>
      <c r="H385" s="70">
        <v>450.1</v>
      </c>
      <c r="I385" s="70">
        <v>480.2</v>
      </c>
    </row>
    <row r="386" spans="1:9" s="18" customFormat="1" ht="21" customHeight="1">
      <c r="A386" s="162" t="s">
        <v>114</v>
      </c>
      <c r="B386" s="162"/>
      <c r="C386" s="162"/>
      <c r="D386" s="162"/>
      <c r="E386" s="162"/>
      <c r="F386" s="162"/>
      <c r="G386" s="162"/>
      <c r="H386" s="162"/>
      <c r="I386" s="162"/>
    </row>
    <row r="387" spans="1:9" s="8" customFormat="1" ht="71.25" customHeight="1">
      <c r="A387" s="16" t="s">
        <v>118</v>
      </c>
      <c r="B387" s="110" t="s">
        <v>116</v>
      </c>
      <c r="C387" s="111">
        <v>1089676</v>
      </c>
      <c r="D387" s="112">
        <v>1926079</v>
      </c>
      <c r="E387" s="111">
        <v>2255998</v>
      </c>
      <c r="F387" s="111">
        <v>2116500</v>
      </c>
      <c r="G387" s="111">
        <v>2067452</v>
      </c>
      <c r="H387" s="111">
        <v>2022639</v>
      </c>
      <c r="I387" s="111">
        <v>1977160</v>
      </c>
    </row>
    <row r="388" spans="1:9" s="15" customFormat="1" ht="21" customHeight="1">
      <c r="A388" s="162" t="s">
        <v>115</v>
      </c>
      <c r="B388" s="162"/>
      <c r="C388" s="162"/>
      <c r="D388" s="162"/>
      <c r="E388" s="162"/>
      <c r="F388" s="162"/>
      <c r="G388" s="162"/>
      <c r="H388" s="162"/>
      <c r="I388" s="162"/>
    </row>
    <row r="389" spans="1:9" s="8" customFormat="1" ht="33.75" customHeight="1">
      <c r="A389" s="16" t="s">
        <v>175</v>
      </c>
      <c r="B389" s="72" t="s">
        <v>41</v>
      </c>
      <c r="C389" s="88">
        <v>39.3</v>
      </c>
      <c r="D389" s="89">
        <f>(39.142+38.839)/2</f>
        <v>38.9905</v>
      </c>
      <c r="E389" s="88">
        <f>(38.839+38.734)/2</f>
        <v>38.786500000000004</v>
      </c>
      <c r="F389" s="88">
        <f>(38.734+38.55)/2</f>
        <v>38.641999999999996</v>
      </c>
      <c r="G389" s="88">
        <v>38.3</v>
      </c>
      <c r="H389" s="88">
        <f>(38.3+37.9)/2</f>
        <v>38.099999999999994</v>
      </c>
      <c r="I389" s="88">
        <f>(37.9+37.8)/2</f>
        <v>37.849999999999994</v>
      </c>
    </row>
    <row r="390" spans="1:9" s="8" customFormat="1" ht="16.5" customHeight="1">
      <c r="A390" s="16" t="s">
        <v>14</v>
      </c>
      <c r="B390" s="72"/>
      <c r="C390" s="88"/>
      <c r="D390" s="89"/>
      <c r="E390" s="88"/>
      <c r="F390" s="86"/>
      <c r="G390" s="86"/>
      <c r="H390" s="86"/>
      <c r="I390" s="87"/>
    </row>
    <row r="391" spans="1:9" s="8" customFormat="1" ht="16.5" customHeight="1">
      <c r="A391" s="35" t="s">
        <v>176</v>
      </c>
      <c r="B391" s="72" t="s">
        <v>41</v>
      </c>
      <c r="C391" s="88">
        <f>(23188+23073)/2/1000</f>
        <v>23.1305</v>
      </c>
      <c r="D391" s="89">
        <f>(23073+23085)/2/1000</f>
        <v>23.079</v>
      </c>
      <c r="E391" s="88">
        <f>(23.085+23.127)/2</f>
        <v>23.106</v>
      </c>
      <c r="F391" s="88">
        <v>23.04</v>
      </c>
      <c r="G391" s="88">
        <v>22.977</v>
      </c>
      <c r="H391" s="88">
        <v>22.92</v>
      </c>
      <c r="I391" s="88">
        <v>22.9</v>
      </c>
    </row>
    <row r="392" spans="1:9" s="8" customFormat="1" ht="16.5" customHeight="1">
      <c r="A392" s="35" t="s">
        <v>177</v>
      </c>
      <c r="B392" s="72" t="s">
        <v>41</v>
      </c>
      <c r="C392" s="88">
        <f>(16404+16069)/2/1000</f>
        <v>16.2365</v>
      </c>
      <c r="D392" s="89">
        <f>(16069+15754)/2/1000</f>
        <v>15.9115</v>
      </c>
      <c r="E392" s="88">
        <f>(15.754+15.607)/2</f>
        <v>15.680499999999999</v>
      </c>
      <c r="F392" s="88">
        <f>F389-F391</f>
        <v>15.601999999999997</v>
      </c>
      <c r="G392" s="88">
        <f>G389-G391</f>
        <v>15.322999999999997</v>
      </c>
      <c r="H392" s="88">
        <f>H389-H391</f>
        <v>15.179999999999993</v>
      </c>
      <c r="I392" s="88">
        <f>I389-I391</f>
        <v>14.949999999999996</v>
      </c>
    </row>
    <row r="393" spans="1:9" s="8" customFormat="1" ht="33.75" customHeight="1">
      <c r="A393" s="16" t="s">
        <v>221</v>
      </c>
      <c r="B393" s="72" t="s">
        <v>222</v>
      </c>
      <c r="C393" s="88">
        <f>29/39142*1000</f>
        <v>0.7408921363241531</v>
      </c>
      <c r="D393" s="89">
        <f>-31/38839*1000</f>
        <v>-0.7981667911120266</v>
      </c>
      <c r="E393" s="88">
        <v>-1.1</v>
      </c>
      <c r="F393" s="88">
        <v>-1.2</v>
      </c>
      <c r="G393" s="88">
        <v>-0.9</v>
      </c>
      <c r="H393" s="88">
        <v>-0.6</v>
      </c>
      <c r="I393" s="88">
        <v>-0.2</v>
      </c>
    </row>
    <row r="394" spans="1:9" s="19" customFormat="1" ht="21" customHeight="1">
      <c r="A394" s="162" t="s">
        <v>219</v>
      </c>
      <c r="B394" s="162"/>
      <c r="C394" s="162"/>
      <c r="D394" s="162"/>
      <c r="E394" s="162"/>
      <c r="F394" s="162"/>
      <c r="G394" s="162"/>
      <c r="H394" s="162"/>
      <c r="I394" s="162"/>
    </row>
    <row r="395" spans="1:9" s="8" customFormat="1" ht="47.25">
      <c r="A395" s="16" t="s">
        <v>194</v>
      </c>
      <c r="B395" s="63" t="s">
        <v>42</v>
      </c>
      <c r="C395" s="90">
        <v>241</v>
      </c>
      <c r="D395" s="91">
        <v>248</v>
      </c>
      <c r="E395" s="91">
        <v>256</v>
      </c>
      <c r="F395" s="91">
        <v>259</v>
      </c>
      <c r="G395" s="91">
        <v>259</v>
      </c>
      <c r="H395" s="91">
        <v>259</v>
      </c>
      <c r="I395" s="91">
        <v>259</v>
      </c>
    </row>
    <row r="396" spans="1:9" s="8" customFormat="1" ht="31.5">
      <c r="A396" s="16" t="s">
        <v>195</v>
      </c>
      <c r="B396" s="63" t="s">
        <v>42</v>
      </c>
      <c r="C396" s="90">
        <v>147</v>
      </c>
      <c r="D396" s="91">
        <v>155</v>
      </c>
      <c r="E396" s="91">
        <v>147</v>
      </c>
      <c r="F396" s="91">
        <v>150</v>
      </c>
      <c r="G396" s="91">
        <v>150</v>
      </c>
      <c r="H396" s="91">
        <v>150</v>
      </c>
      <c r="I396" s="91">
        <v>150</v>
      </c>
    </row>
    <row r="397" spans="1:9" s="17" customFormat="1" ht="31.5">
      <c r="A397" s="16" t="s">
        <v>117</v>
      </c>
      <c r="B397" s="63" t="s">
        <v>116</v>
      </c>
      <c r="C397" s="90">
        <v>164507</v>
      </c>
      <c r="D397" s="91">
        <v>161528</v>
      </c>
      <c r="E397" s="91">
        <v>172462</v>
      </c>
      <c r="F397" s="91">
        <v>174402</v>
      </c>
      <c r="G397" s="91">
        <v>176002</v>
      </c>
      <c r="H397" s="91">
        <v>177468</v>
      </c>
      <c r="I397" s="91">
        <v>178850</v>
      </c>
    </row>
    <row r="398" spans="1:9" s="8" customFormat="1" ht="21" customHeight="1">
      <c r="A398" s="23"/>
      <c r="B398" s="64"/>
      <c r="C398" s="57"/>
      <c r="D398" s="57"/>
      <c r="E398" s="57"/>
      <c r="F398" s="57"/>
      <c r="G398" s="57"/>
      <c r="H398" s="57"/>
      <c r="I398" s="57"/>
    </row>
    <row r="399" spans="1:9" s="7" customFormat="1" ht="15.75">
      <c r="A399" s="14"/>
      <c r="B399" s="65"/>
      <c r="C399" s="36"/>
      <c r="D399" s="36"/>
      <c r="E399" s="36"/>
      <c r="F399" s="36"/>
      <c r="G399" s="36"/>
      <c r="H399" s="58"/>
      <c r="I399" s="58"/>
    </row>
    <row r="400" ht="15.75">
      <c r="B400" s="65"/>
    </row>
    <row r="401" ht="15.75">
      <c r="B401" s="65"/>
    </row>
    <row r="402" ht="15.75">
      <c r="B402" s="65"/>
    </row>
    <row r="403" ht="15.75">
      <c r="B403" s="65"/>
    </row>
    <row r="404" ht="15.75">
      <c r="B404" s="65"/>
    </row>
    <row r="405" ht="15.75">
      <c r="B405" s="65"/>
    </row>
    <row r="406" ht="15.75">
      <c r="B406" s="65"/>
    </row>
    <row r="407" ht="15.75">
      <c r="B407" s="65"/>
    </row>
    <row r="408" ht="15.75">
      <c r="B408" s="65"/>
    </row>
    <row r="409" ht="15.75">
      <c r="B409" s="65"/>
    </row>
    <row r="410" ht="15.75">
      <c r="B410" s="65"/>
    </row>
    <row r="411" ht="15.75">
      <c r="B411" s="65"/>
    </row>
    <row r="412" ht="15.75">
      <c r="B412" s="65"/>
    </row>
    <row r="413" ht="15.75">
      <c r="B413" s="65"/>
    </row>
    <row r="414" ht="15.75">
      <c r="B414" s="65"/>
    </row>
    <row r="415" ht="15.75">
      <c r="B415" s="65"/>
    </row>
    <row r="416" ht="15.75">
      <c r="B416" s="65"/>
    </row>
    <row r="417" ht="15.75">
      <c r="B417" s="65"/>
    </row>
    <row r="418" ht="15.75">
      <c r="B418" s="65"/>
    </row>
    <row r="419" ht="15.75">
      <c r="B419" s="65"/>
    </row>
    <row r="420" ht="15.75">
      <c r="B420" s="65"/>
    </row>
    <row r="421" ht="15.75">
      <c r="B421" s="65"/>
    </row>
    <row r="422" ht="15.75">
      <c r="B422" s="65"/>
    </row>
    <row r="423" ht="15.75">
      <c r="B423" s="65"/>
    </row>
    <row r="424" ht="15.75">
      <c r="B424" s="65"/>
    </row>
    <row r="425" ht="15.75">
      <c r="B425" s="65"/>
    </row>
    <row r="426" ht="15.75">
      <c r="B426" s="65"/>
    </row>
    <row r="427" ht="15.75">
      <c r="B427" s="65"/>
    </row>
    <row r="428" ht="15.75">
      <c r="B428" s="65"/>
    </row>
    <row r="429" ht="15.75">
      <c r="B429" s="65"/>
    </row>
    <row r="430" ht="15.75">
      <c r="B430" s="65"/>
    </row>
    <row r="431" ht="15.75">
      <c r="B431" s="65"/>
    </row>
    <row r="432" ht="15.75">
      <c r="B432" s="65"/>
    </row>
    <row r="433" ht="15.75">
      <c r="B433" s="65"/>
    </row>
    <row r="434" ht="15.75">
      <c r="B434" s="65"/>
    </row>
    <row r="435" ht="15.75">
      <c r="B435" s="65"/>
    </row>
    <row r="436" ht="15.75">
      <c r="B436" s="65"/>
    </row>
    <row r="437" ht="15.75">
      <c r="B437" s="65"/>
    </row>
    <row r="438" ht="15.75">
      <c r="B438" s="65"/>
    </row>
    <row r="439" ht="15.75">
      <c r="B439" s="65"/>
    </row>
    <row r="440" ht="15.75">
      <c r="B440" s="65"/>
    </row>
    <row r="441" ht="15.75">
      <c r="B441" s="65"/>
    </row>
    <row r="442" ht="15.75">
      <c r="B442" s="65"/>
    </row>
    <row r="443" ht="15.75">
      <c r="B443" s="65"/>
    </row>
    <row r="444" ht="15.75">
      <c r="B444" s="65"/>
    </row>
    <row r="445" ht="15.75">
      <c r="B445" s="65"/>
    </row>
    <row r="446" ht="15.75">
      <c r="B446" s="65"/>
    </row>
    <row r="447" ht="15.75">
      <c r="B447" s="65"/>
    </row>
    <row r="448" ht="15.75">
      <c r="B448" s="65"/>
    </row>
    <row r="449" ht="15.75">
      <c r="B449" s="65"/>
    </row>
    <row r="450" ht="15.75">
      <c r="B450" s="65"/>
    </row>
    <row r="451" ht="15.75">
      <c r="B451" s="65"/>
    </row>
    <row r="452" ht="15.75">
      <c r="B452" s="65"/>
    </row>
    <row r="453" ht="15.75">
      <c r="B453" s="65"/>
    </row>
    <row r="454" ht="15.75">
      <c r="B454" s="65"/>
    </row>
    <row r="455" ht="15.75">
      <c r="B455" s="65"/>
    </row>
    <row r="456" ht="15.75">
      <c r="B456" s="65"/>
    </row>
    <row r="457" ht="15.75">
      <c r="B457" s="65"/>
    </row>
    <row r="458" ht="15.75">
      <c r="B458" s="65"/>
    </row>
    <row r="459" ht="15.75">
      <c r="B459" s="65"/>
    </row>
    <row r="460" ht="15.75">
      <c r="B460" s="65"/>
    </row>
    <row r="461" ht="15.75">
      <c r="B461" s="65"/>
    </row>
    <row r="462" ht="15.75">
      <c r="B462" s="65"/>
    </row>
    <row r="463" ht="15.75">
      <c r="B463" s="65"/>
    </row>
    <row r="464" ht="15.75">
      <c r="B464" s="65"/>
    </row>
    <row r="465" ht="15.75">
      <c r="B465" s="65"/>
    </row>
    <row r="466" ht="15.75">
      <c r="B466" s="65"/>
    </row>
    <row r="467" ht="15.75">
      <c r="B467" s="65"/>
    </row>
    <row r="468" ht="15.75">
      <c r="B468" s="65"/>
    </row>
    <row r="469" ht="15.75">
      <c r="B469" s="65"/>
    </row>
    <row r="470" ht="15.75">
      <c r="B470" s="65"/>
    </row>
    <row r="471" ht="15.75">
      <c r="B471" s="65"/>
    </row>
    <row r="472" ht="15.75">
      <c r="B472" s="65"/>
    </row>
    <row r="473" ht="15.75">
      <c r="B473" s="65"/>
    </row>
    <row r="474" ht="15.75">
      <c r="B474" s="65"/>
    </row>
    <row r="475" ht="15.75">
      <c r="B475" s="65"/>
    </row>
    <row r="476" ht="15.75">
      <c r="B476" s="65"/>
    </row>
    <row r="477" ht="15.75">
      <c r="B477" s="65"/>
    </row>
    <row r="478" ht="15.75">
      <c r="B478" s="65"/>
    </row>
    <row r="479" ht="15.75">
      <c r="B479" s="65"/>
    </row>
    <row r="480" ht="15.75">
      <c r="B480" s="65"/>
    </row>
    <row r="481" ht="15.75">
      <c r="B481" s="65"/>
    </row>
    <row r="482" ht="15.75">
      <c r="B482" s="65"/>
    </row>
    <row r="483" ht="15.75">
      <c r="B483" s="65"/>
    </row>
    <row r="484" ht="15.75">
      <c r="B484" s="65"/>
    </row>
    <row r="485" ht="15.75">
      <c r="B485" s="65"/>
    </row>
    <row r="486" ht="15.75">
      <c r="B486" s="65"/>
    </row>
    <row r="487" ht="15.75">
      <c r="B487" s="65"/>
    </row>
    <row r="488" ht="15.75">
      <c r="B488" s="65"/>
    </row>
    <row r="489" ht="15.75">
      <c r="B489" s="65"/>
    </row>
    <row r="490" ht="15.75">
      <c r="B490" s="65"/>
    </row>
    <row r="491" ht="15.75">
      <c r="B491" s="65"/>
    </row>
    <row r="492" ht="15.75">
      <c r="B492" s="65"/>
    </row>
    <row r="493" ht="15.75">
      <c r="B493" s="65"/>
    </row>
    <row r="494" ht="15.75">
      <c r="B494" s="65"/>
    </row>
    <row r="495" ht="15.75">
      <c r="B495" s="65"/>
    </row>
    <row r="496" ht="15.75">
      <c r="B496" s="65"/>
    </row>
    <row r="497" ht="15.75">
      <c r="B497" s="65"/>
    </row>
    <row r="498" ht="15.75">
      <c r="B498" s="65"/>
    </row>
    <row r="499" ht="15.75">
      <c r="B499" s="65"/>
    </row>
    <row r="500" ht="15.75">
      <c r="B500" s="65"/>
    </row>
    <row r="501" ht="15.75">
      <c r="B501" s="65"/>
    </row>
    <row r="502" ht="15.75">
      <c r="B502" s="65"/>
    </row>
    <row r="503" ht="15.75">
      <c r="B503" s="65"/>
    </row>
    <row r="504" ht="15.75">
      <c r="B504" s="65"/>
    </row>
    <row r="505" ht="15.75">
      <c r="B505" s="65"/>
    </row>
    <row r="506" ht="15.75">
      <c r="B506" s="65"/>
    </row>
    <row r="507" ht="15.75">
      <c r="B507" s="65"/>
    </row>
    <row r="508" ht="15.75">
      <c r="B508" s="65"/>
    </row>
    <row r="509" ht="15.75">
      <c r="B509" s="65"/>
    </row>
    <row r="510" ht="15.75">
      <c r="B510" s="65"/>
    </row>
    <row r="511" ht="15.75">
      <c r="B511" s="65"/>
    </row>
    <row r="512" ht="15.75">
      <c r="B512" s="65"/>
    </row>
    <row r="513" ht="15.75">
      <c r="B513" s="65"/>
    </row>
    <row r="514" ht="15.75">
      <c r="B514" s="65"/>
    </row>
    <row r="515" ht="15.75">
      <c r="B515" s="65"/>
    </row>
    <row r="516" ht="15.75">
      <c r="B516" s="65"/>
    </row>
    <row r="517" ht="15.75">
      <c r="B517" s="65"/>
    </row>
    <row r="518" ht="15.75">
      <c r="B518" s="65"/>
    </row>
    <row r="519" ht="15.75">
      <c r="B519" s="65"/>
    </row>
    <row r="520" ht="15.75">
      <c r="B520" s="65"/>
    </row>
    <row r="521" ht="15.75">
      <c r="B521" s="65"/>
    </row>
    <row r="522" ht="15.75">
      <c r="B522" s="65"/>
    </row>
    <row r="523" ht="15.75">
      <c r="B523" s="65"/>
    </row>
    <row r="524" ht="15.75">
      <c r="B524" s="65"/>
    </row>
    <row r="525" ht="15.75">
      <c r="B525" s="65"/>
    </row>
    <row r="526" ht="15.75">
      <c r="B526" s="65"/>
    </row>
    <row r="527" ht="15.75">
      <c r="B527" s="65"/>
    </row>
    <row r="528" ht="15.75">
      <c r="B528" s="65"/>
    </row>
    <row r="529" ht="15.75">
      <c r="B529" s="65"/>
    </row>
    <row r="530" ht="15.75">
      <c r="B530" s="65"/>
    </row>
    <row r="531" ht="15.75">
      <c r="B531" s="65"/>
    </row>
    <row r="532" ht="15.75">
      <c r="B532" s="65"/>
    </row>
    <row r="533" ht="15.75">
      <c r="B533" s="65"/>
    </row>
    <row r="534" ht="15.75">
      <c r="B534" s="65"/>
    </row>
    <row r="535" ht="15.75">
      <c r="B535" s="65"/>
    </row>
    <row r="536" ht="15.75">
      <c r="B536" s="65"/>
    </row>
    <row r="537" ht="15.75">
      <c r="B537" s="65"/>
    </row>
    <row r="538" ht="15.75">
      <c r="B538" s="65"/>
    </row>
    <row r="539" ht="15.75">
      <c r="B539" s="65"/>
    </row>
    <row r="540" ht="15.75">
      <c r="B540" s="65"/>
    </row>
    <row r="541" ht="15.75">
      <c r="B541" s="65"/>
    </row>
    <row r="542" ht="15.75">
      <c r="B542" s="65"/>
    </row>
    <row r="543" ht="15.75">
      <c r="B543" s="65"/>
    </row>
    <row r="544" ht="15.75">
      <c r="B544" s="65"/>
    </row>
    <row r="545" ht="15.75">
      <c r="B545" s="65"/>
    </row>
    <row r="546" ht="15.75">
      <c r="B546" s="65"/>
    </row>
    <row r="547" ht="15.75">
      <c r="B547" s="65"/>
    </row>
    <row r="548" ht="15.75">
      <c r="B548" s="65"/>
    </row>
    <row r="549" ht="15.75">
      <c r="B549" s="65"/>
    </row>
    <row r="550" ht="15.75">
      <c r="B550" s="65"/>
    </row>
    <row r="551" ht="15.75">
      <c r="B551" s="65"/>
    </row>
    <row r="552" ht="15.75">
      <c r="B552" s="65"/>
    </row>
    <row r="553" ht="15.75">
      <c r="B553" s="65"/>
    </row>
    <row r="554" ht="15.75">
      <c r="B554" s="65"/>
    </row>
    <row r="555" ht="15.75">
      <c r="B555" s="65"/>
    </row>
    <row r="556" ht="15.75">
      <c r="B556" s="65"/>
    </row>
    <row r="557" ht="15.75">
      <c r="B557" s="65"/>
    </row>
    <row r="558" ht="15.75">
      <c r="B558" s="65"/>
    </row>
    <row r="559" ht="15.75">
      <c r="B559" s="65"/>
    </row>
    <row r="560" ht="15.75">
      <c r="B560" s="65"/>
    </row>
    <row r="561" ht="15.75">
      <c r="B561" s="65"/>
    </row>
    <row r="562" ht="15.75">
      <c r="B562" s="65"/>
    </row>
    <row r="563" ht="15.75">
      <c r="B563" s="65"/>
    </row>
    <row r="564" ht="15.75">
      <c r="B564" s="65"/>
    </row>
    <row r="565" ht="15.75">
      <c r="B565" s="65"/>
    </row>
    <row r="566" ht="15.75">
      <c r="B566" s="65"/>
    </row>
    <row r="567" ht="15.75">
      <c r="B567" s="65"/>
    </row>
    <row r="568" ht="15.75">
      <c r="B568" s="65"/>
    </row>
    <row r="569" ht="15.75">
      <c r="B569" s="65"/>
    </row>
    <row r="570" ht="15.75">
      <c r="B570" s="65"/>
    </row>
    <row r="571" ht="15.75">
      <c r="B571" s="65"/>
    </row>
    <row r="572" ht="15.75">
      <c r="B572" s="65"/>
    </row>
    <row r="573" ht="15.75">
      <c r="B573" s="65"/>
    </row>
    <row r="574" ht="15.75">
      <c r="B574" s="65"/>
    </row>
    <row r="575" ht="15.75">
      <c r="B575" s="65"/>
    </row>
    <row r="576" ht="15.75">
      <c r="B576" s="65"/>
    </row>
    <row r="577" ht="15.75">
      <c r="B577" s="65"/>
    </row>
    <row r="578" ht="15.75">
      <c r="B578" s="65"/>
    </row>
    <row r="579" ht="15.75">
      <c r="B579" s="65"/>
    </row>
    <row r="580" ht="15.75">
      <c r="B580" s="65"/>
    </row>
    <row r="581" ht="15.75">
      <c r="B581" s="65"/>
    </row>
    <row r="582" ht="15.75">
      <c r="B582" s="65"/>
    </row>
    <row r="583" ht="15.75">
      <c r="B583" s="65"/>
    </row>
    <row r="584" ht="15.75">
      <c r="B584" s="65"/>
    </row>
    <row r="585" ht="15.75">
      <c r="B585" s="65"/>
    </row>
    <row r="586" ht="15.75">
      <c r="B586" s="65"/>
    </row>
    <row r="587" ht="15.75">
      <c r="B587" s="65"/>
    </row>
    <row r="588" ht="15.75">
      <c r="B588" s="65"/>
    </row>
    <row r="589" ht="15.75">
      <c r="B589" s="65"/>
    </row>
    <row r="590" ht="15.75">
      <c r="B590" s="65"/>
    </row>
    <row r="591" ht="15.75">
      <c r="B591" s="65"/>
    </row>
    <row r="592" ht="15.75">
      <c r="B592" s="65"/>
    </row>
    <row r="593" ht="15.75">
      <c r="B593" s="65"/>
    </row>
    <row r="594" ht="15.75">
      <c r="B594" s="65"/>
    </row>
    <row r="595" ht="15.75">
      <c r="B595" s="65"/>
    </row>
    <row r="596" ht="15.75">
      <c r="B596" s="65"/>
    </row>
    <row r="597" ht="15.75">
      <c r="B597" s="65"/>
    </row>
    <row r="598" ht="15.75">
      <c r="B598" s="65"/>
    </row>
    <row r="599" ht="15.75">
      <c r="B599" s="65"/>
    </row>
    <row r="600" ht="15.75">
      <c r="B600" s="65"/>
    </row>
    <row r="601" ht="15.75">
      <c r="B601" s="65"/>
    </row>
    <row r="602" ht="15.75">
      <c r="B602" s="65"/>
    </row>
    <row r="603" ht="15.75">
      <c r="B603" s="65"/>
    </row>
    <row r="604" ht="15.75">
      <c r="B604" s="65"/>
    </row>
    <row r="605" ht="15.75">
      <c r="B605" s="65"/>
    </row>
    <row r="606" ht="15.75">
      <c r="B606" s="65"/>
    </row>
    <row r="607" ht="15.75">
      <c r="B607" s="65"/>
    </row>
    <row r="608" ht="15.75">
      <c r="B608" s="65"/>
    </row>
    <row r="609" ht="15.75">
      <c r="B609" s="65"/>
    </row>
    <row r="610" ht="15.75">
      <c r="B610" s="65"/>
    </row>
    <row r="611" ht="15.75">
      <c r="B611" s="65"/>
    </row>
    <row r="612" ht="15.75">
      <c r="B612" s="65"/>
    </row>
    <row r="613" ht="15.75">
      <c r="B613" s="65"/>
    </row>
    <row r="614" ht="15.75">
      <c r="B614" s="65"/>
    </row>
    <row r="615" ht="15.75">
      <c r="B615" s="65"/>
    </row>
    <row r="616" ht="15.75">
      <c r="B616" s="65"/>
    </row>
    <row r="617" ht="15.75">
      <c r="B617" s="65"/>
    </row>
    <row r="618" ht="15.75">
      <c r="B618" s="65"/>
    </row>
    <row r="619" ht="15.75">
      <c r="B619" s="65"/>
    </row>
    <row r="620" ht="15.75">
      <c r="B620" s="65"/>
    </row>
    <row r="621" ht="15.75">
      <c r="B621" s="65"/>
    </row>
    <row r="622" ht="15.75">
      <c r="B622" s="65"/>
    </row>
    <row r="623" ht="15.75">
      <c r="B623" s="65"/>
    </row>
    <row r="624" ht="15.75">
      <c r="B624" s="65"/>
    </row>
    <row r="625" ht="15.75">
      <c r="B625" s="65"/>
    </row>
    <row r="626" ht="15.75">
      <c r="B626" s="65"/>
    </row>
    <row r="627" ht="15.75">
      <c r="B627" s="65"/>
    </row>
    <row r="628" ht="15.75">
      <c r="B628" s="65"/>
    </row>
    <row r="629" ht="15.75">
      <c r="B629" s="65"/>
    </row>
    <row r="630" ht="15.75">
      <c r="B630" s="65"/>
    </row>
    <row r="631" ht="15.75">
      <c r="B631" s="65"/>
    </row>
    <row r="632" ht="15.75">
      <c r="B632" s="65"/>
    </row>
    <row r="633" ht="15.75">
      <c r="B633" s="65"/>
    </row>
    <row r="634" ht="15.75">
      <c r="B634" s="65"/>
    </row>
    <row r="635" ht="15.75">
      <c r="B635" s="65"/>
    </row>
    <row r="636" ht="15.75">
      <c r="B636" s="65"/>
    </row>
    <row r="637" ht="15.75">
      <c r="B637" s="65"/>
    </row>
    <row r="638" ht="15.75">
      <c r="B638" s="65"/>
    </row>
    <row r="639" ht="15.75">
      <c r="B639" s="65"/>
    </row>
    <row r="640" ht="15.75">
      <c r="B640" s="65"/>
    </row>
    <row r="641" ht="15.75">
      <c r="B641" s="65"/>
    </row>
    <row r="642" ht="15.75">
      <c r="B642" s="65"/>
    </row>
    <row r="643" ht="15.75">
      <c r="B643" s="65"/>
    </row>
    <row r="644" ht="15.75">
      <c r="B644" s="65"/>
    </row>
    <row r="645" ht="15.75">
      <c r="B645" s="65"/>
    </row>
    <row r="646" ht="15.75">
      <c r="B646" s="65"/>
    </row>
    <row r="647" ht="15.75">
      <c r="B647" s="65"/>
    </row>
    <row r="648" ht="15.75">
      <c r="B648" s="65"/>
    </row>
    <row r="649" ht="15.75">
      <c r="B649" s="65"/>
    </row>
    <row r="650" ht="15.75">
      <c r="B650" s="65"/>
    </row>
    <row r="651" ht="15.75">
      <c r="B651" s="65"/>
    </row>
    <row r="652" ht="15.75">
      <c r="B652" s="65"/>
    </row>
    <row r="653" ht="15.75">
      <c r="B653" s="65"/>
    </row>
    <row r="654" ht="15.75">
      <c r="B654" s="65"/>
    </row>
    <row r="655" ht="15.75">
      <c r="B655" s="65"/>
    </row>
    <row r="656" ht="15.75">
      <c r="B656" s="65"/>
    </row>
    <row r="657" ht="15.75">
      <c r="B657" s="65"/>
    </row>
    <row r="658" ht="15.75">
      <c r="B658" s="65"/>
    </row>
    <row r="659" ht="15.75">
      <c r="B659" s="65"/>
    </row>
    <row r="660" ht="15.75">
      <c r="B660" s="65"/>
    </row>
    <row r="661" ht="15.75">
      <c r="B661" s="65"/>
    </row>
    <row r="662" ht="15.75">
      <c r="B662" s="65"/>
    </row>
    <row r="663" ht="15.75">
      <c r="B663" s="65"/>
    </row>
    <row r="664" ht="15.75">
      <c r="B664" s="65"/>
    </row>
    <row r="665" ht="15.75">
      <c r="B665" s="65"/>
    </row>
    <row r="666" ht="15.75">
      <c r="B666" s="65"/>
    </row>
    <row r="667" ht="15.75">
      <c r="B667" s="65"/>
    </row>
    <row r="668" ht="15.75">
      <c r="B668" s="65"/>
    </row>
    <row r="669" ht="15.75">
      <c r="B669" s="65"/>
    </row>
    <row r="670" ht="15.75">
      <c r="B670" s="65"/>
    </row>
    <row r="671" ht="15.75">
      <c r="B671" s="65"/>
    </row>
    <row r="672" ht="15.75">
      <c r="B672" s="65"/>
    </row>
    <row r="673" ht="15.75">
      <c r="B673" s="65"/>
    </row>
    <row r="674" ht="15.75">
      <c r="B674" s="65"/>
    </row>
    <row r="675" ht="15.75">
      <c r="B675" s="65"/>
    </row>
    <row r="676" ht="15.75">
      <c r="B676" s="65"/>
    </row>
    <row r="677" ht="15.75">
      <c r="B677" s="65"/>
    </row>
    <row r="678" ht="15.75">
      <c r="B678" s="65"/>
    </row>
    <row r="679" ht="15.75">
      <c r="B679" s="65"/>
    </row>
    <row r="680" ht="15.75">
      <c r="B680" s="65"/>
    </row>
    <row r="681" ht="15.75">
      <c r="B681" s="65"/>
    </row>
    <row r="682" ht="15.75">
      <c r="B682" s="65"/>
    </row>
    <row r="683" ht="15.75">
      <c r="B683" s="65"/>
    </row>
    <row r="684" ht="15.75">
      <c r="B684" s="65"/>
    </row>
    <row r="685" ht="15.75">
      <c r="B685" s="65"/>
    </row>
    <row r="686" ht="15.75">
      <c r="B686" s="65"/>
    </row>
    <row r="687" ht="15.75">
      <c r="B687" s="65"/>
    </row>
    <row r="688" ht="15.75">
      <c r="B688" s="65"/>
    </row>
    <row r="689" ht="15.75">
      <c r="B689" s="65"/>
    </row>
    <row r="690" ht="15.75">
      <c r="B690" s="65"/>
    </row>
    <row r="691" ht="15.75">
      <c r="B691" s="65"/>
    </row>
    <row r="692" ht="15.75">
      <c r="B692" s="65"/>
    </row>
    <row r="693" ht="15.75">
      <c r="B693" s="65"/>
    </row>
    <row r="694" ht="15.75">
      <c r="B694" s="65"/>
    </row>
    <row r="695" ht="15.75">
      <c r="B695" s="65"/>
    </row>
    <row r="696" ht="15.75">
      <c r="B696" s="65"/>
    </row>
    <row r="697" ht="15.75">
      <c r="B697" s="65"/>
    </row>
    <row r="698" ht="15.75">
      <c r="B698" s="65"/>
    </row>
    <row r="699" ht="15.75">
      <c r="B699" s="65"/>
    </row>
    <row r="700" ht="15.75">
      <c r="B700" s="65"/>
    </row>
    <row r="701" ht="15.75">
      <c r="B701" s="65"/>
    </row>
    <row r="702" ht="15.75">
      <c r="B702" s="65"/>
    </row>
    <row r="703" ht="15.75">
      <c r="B703" s="65"/>
    </row>
    <row r="704" ht="15.75">
      <c r="B704" s="65"/>
    </row>
    <row r="705" ht="15.75">
      <c r="B705" s="65"/>
    </row>
    <row r="706" ht="15.75">
      <c r="B706" s="65"/>
    </row>
    <row r="707" ht="15.75">
      <c r="B707" s="65"/>
    </row>
    <row r="708" ht="15.75">
      <c r="B708" s="65"/>
    </row>
    <row r="709" ht="15.75">
      <c r="B709" s="65"/>
    </row>
    <row r="710" ht="15.75">
      <c r="B710" s="65"/>
    </row>
    <row r="711" ht="15.75">
      <c r="B711" s="65"/>
    </row>
    <row r="712" ht="15.75">
      <c r="B712" s="65"/>
    </row>
    <row r="713" ht="15.75">
      <c r="B713" s="65"/>
    </row>
    <row r="714" ht="15.75">
      <c r="B714" s="65"/>
    </row>
    <row r="715" ht="15.75">
      <c r="B715" s="65"/>
    </row>
    <row r="716" ht="15.75">
      <c r="B716" s="65"/>
    </row>
    <row r="717" ht="15.75">
      <c r="B717" s="65"/>
    </row>
    <row r="718" ht="15.75">
      <c r="B718" s="65"/>
    </row>
    <row r="719" ht="15.75">
      <c r="B719" s="65"/>
    </row>
    <row r="720" ht="15.75">
      <c r="B720" s="65"/>
    </row>
    <row r="721" ht="15.75">
      <c r="B721" s="65"/>
    </row>
    <row r="722" ht="15.75">
      <c r="B722" s="65"/>
    </row>
    <row r="723" ht="15.75">
      <c r="B723" s="65"/>
    </row>
    <row r="724" ht="15.75">
      <c r="B724" s="65"/>
    </row>
    <row r="725" ht="15.75">
      <c r="B725" s="65"/>
    </row>
    <row r="726" ht="15.75">
      <c r="B726" s="65"/>
    </row>
    <row r="727" ht="15.75">
      <c r="B727" s="65"/>
    </row>
    <row r="728" ht="15.75">
      <c r="B728" s="65"/>
    </row>
    <row r="729" ht="15.75">
      <c r="B729" s="65"/>
    </row>
    <row r="730" ht="15.75">
      <c r="B730" s="65"/>
    </row>
    <row r="731" ht="15.75">
      <c r="B731" s="65"/>
    </row>
    <row r="732" ht="15.75">
      <c r="B732" s="65"/>
    </row>
    <row r="733" ht="15.75">
      <c r="B733" s="65"/>
    </row>
    <row r="734" ht="15.75">
      <c r="B734" s="65"/>
    </row>
    <row r="735" ht="15.75">
      <c r="B735" s="65"/>
    </row>
    <row r="736" ht="15.75">
      <c r="B736" s="65"/>
    </row>
    <row r="737" ht="15.75">
      <c r="B737" s="65"/>
    </row>
    <row r="738" ht="15.75">
      <c r="B738" s="65"/>
    </row>
    <row r="739" ht="15.75">
      <c r="B739" s="65"/>
    </row>
    <row r="740" ht="15.75">
      <c r="B740" s="65"/>
    </row>
    <row r="741" ht="15.75">
      <c r="B741" s="65"/>
    </row>
    <row r="742" ht="15.75">
      <c r="B742" s="65"/>
    </row>
    <row r="743" ht="15.75">
      <c r="B743" s="65"/>
    </row>
    <row r="744" ht="15.75">
      <c r="B744" s="65"/>
    </row>
    <row r="745" ht="15.75">
      <c r="B745" s="65"/>
    </row>
    <row r="746" ht="15.75">
      <c r="B746" s="65"/>
    </row>
    <row r="747" ht="15.75">
      <c r="B747" s="65"/>
    </row>
    <row r="748" ht="15.75">
      <c r="B748" s="65"/>
    </row>
    <row r="749" ht="15.75">
      <c r="B749" s="65"/>
    </row>
    <row r="750" ht="15.75">
      <c r="B750" s="65"/>
    </row>
    <row r="751" ht="15.75">
      <c r="B751" s="65"/>
    </row>
    <row r="752" ht="15.75">
      <c r="B752" s="65"/>
    </row>
    <row r="753" ht="15.75">
      <c r="B753" s="65"/>
    </row>
    <row r="754" ht="15.75">
      <c r="B754" s="65"/>
    </row>
    <row r="755" ht="15.75">
      <c r="B755" s="65"/>
    </row>
    <row r="756" ht="15.75">
      <c r="B756" s="65"/>
    </row>
    <row r="757" ht="15.75">
      <c r="B757" s="65"/>
    </row>
    <row r="758" ht="15.75">
      <c r="B758" s="65"/>
    </row>
    <row r="759" ht="15.75">
      <c r="B759" s="65"/>
    </row>
    <row r="760" ht="15.75">
      <c r="B760" s="65"/>
    </row>
    <row r="761" ht="15.75">
      <c r="B761" s="65"/>
    </row>
    <row r="762" ht="15.75">
      <c r="B762" s="65"/>
    </row>
    <row r="763" ht="15.75">
      <c r="B763" s="65"/>
    </row>
    <row r="764" ht="15.75">
      <c r="B764" s="65"/>
    </row>
    <row r="765" ht="15.75">
      <c r="B765" s="65"/>
    </row>
    <row r="766" ht="15.75">
      <c r="B766" s="65"/>
    </row>
    <row r="767" ht="15.75">
      <c r="B767" s="65"/>
    </row>
    <row r="768" ht="15.75">
      <c r="B768" s="65"/>
    </row>
    <row r="769" ht="15.75">
      <c r="B769" s="65"/>
    </row>
    <row r="770" ht="15.75">
      <c r="B770" s="65"/>
    </row>
    <row r="771" ht="15.75">
      <c r="B771" s="65"/>
    </row>
    <row r="772" ht="15.75">
      <c r="B772" s="65"/>
    </row>
    <row r="773" ht="15.75">
      <c r="B773" s="65"/>
    </row>
    <row r="774" ht="15.75">
      <c r="B774" s="65"/>
    </row>
    <row r="775" ht="15.75">
      <c r="B775" s="65"/>
    </row>
    <row r="776" ht="15.75">
      <c r="B776" s="65"/>
    </row>
    <row r="777" ht="15.75">
      <c r="B777" s="65"/>
    </row>
    <row r="778" ht="15.75">
      <c r="B778" s="65"/>
    </row>
    <row r="779" ht="15.75">
      <c r="B779" s="65"/>
    </row>
    <row r="780" ht="15.75">
      <c r="B780" s="65"/>
    </row>
    <row r="781" ht="15.75">
      <c r="B781" s="65"/>
    </row>
    <row r="782" ht="15.75">
      <c r="B782" s="65"/>
    </row>
    <row r="783" ht="15.75">
      <c r="B783" s="65"/>
    </row>
    <row r="784" ht="15.75">
      <c r="B784" s="65"/>
    </row>
    <row r="785" ht="15.75">
      <c r="B785" s="65"/>
    </row>
    <row r="786" ht="15.75">
      <c r="B786" s="65"/>
    </row>
    <row r="787" ht="15.75">
      <c r="B787" s="65"/>
    </row>
    <row r="788" ht="15.75">
      <c r="B788" s="65"/>
    </row>
    <row r="789" ht="15.75">
      <c r="B789" s="65"/>
    </row>
    <row r="790" ht="15.75">
      <c r="B790" s="65"/>
    </row>
    <row r="791" ht="15.75">
      <c r="B791" s="65"/>
    </row>
    <row r="792" ht="15.75">
      <c r="B792" s="65"/>
    </row>
    <row r="793" ht="15.75">
      <c r="B793" s="65"/>
    </row>
    <row r="794" ht="15.75">
      <c r="B794" s="65"/>
    </row>
    <row r="795" ht="15.75">
      <c r="B795" s="65"/>
    </row>
    <row r="796" ht="15.75">
      <c r="B796" s="65"/>
    </row>
    <row r="797" ht="15.75">
      <c r="B797" s="65"/>
    </row>
    <row r="798" ht="15.75">
      <c r="B798" s="65"/>
    </row>
    <row r="799" ht="15.75">
      <c r="B799" s="65"/>
    </row>
    <row r="800" ht="15.75">
      <c r="B800" s="65"/>
    </row>
    <row r="801" ht="15.75">
      <c r="B801" s="65"/>
    </row>
    <row r="802" ht="15.75">
      <c r="B802" s="65"/>
    </row>
    <row r="803" ht="15.75">
      <c r="B803" s="65"/>
    </row>
    <row r="804" ht="15.75">
      <c r="B804" s="65"/>
    </row>
    <row r="805" ht="15.75">
      <c r="B805" s="65"/>
    </row>
    <row r="806" ht="15.75">
      <c r="B806" s="65"/>
    </row>
    <row r="807" ht="15.75">
      <c r="B807" s="65"/>
    </row>
    <row r="808" ht="15.75">
      <c r="B808" s="65"/>
    </row>
    <row r="809" ht="15.75">
      <c r="B809" s="65"/>
    </row>
    <row r="810" ht="15.75">
      <c r="B810" s="65"/>
    </row>
    <row r="811" ht="15.75">
      <c r="B811" s="65"/>
    </row>
    <row r="812" ht="15.75">
      <c r="B812" s="65"/>
    </row>
    <row r="813" ht="15.75">
      <c r="B813" s="65"/>
    </row>
    <row r="814" ht="15.75">
      <c r="B814" s="65"/>
    </row>
    <row r="815" ht="15.75">
      <c r="B815" s="65"/>
    </row>
    <row r="816" ht="15.75">
      <c r="B816" s="65"/>
    </row>
    <row r="817" ht="15.75">
      <c r="B817" s="65"/>
    </row>
    <row r="818" ht="15.75">
      <c r="B818" s="65"/>
    </row>
    <row r="819" ht="15.75">
      <c r="B819" s="65"/>
    </row>
    <row r="820" ht="15.75">
      <c r="B820" s="65"/>
    </row>
    <row r="821" ht="15.75">
      <c r="B821" s="65"/>
    </row>
    <row r="822" ht="15.75">
      <c r="B822" s="65"/>
    </row>
    <row r="823" ht="15.75">
      <c r="B823" s="65"/>
    </row>
    <row r="824" ht="15.75">
      <c r="B824" s="65"/>
    </row>
    <row r="825" ht="15.75">
      <c r="B825" s="65"/>
    </row>
    <row r="826" ht="15.75">
      <c r="B826" s="65"/>
    </row>
    <row r="827" ht="15.75">
      <c r="B827" s="65"/>
    </row>
    <row r="828" ht="15.75">
      <c r="B828" s="65"/>
    </row>
    <row r="829" ht="15.75">
      <c r="B829" s="65"/>
    </row>
    <row r="830" ht="15.75">
      <c r="B830" s="65"/>
    </row>
    <row r="831" ht="15.75">
      <c r="B831" s="65"/>
    </row>
    <row r="832" ht="15.75">
      <c r="B832" s="65"/>
    </row>
    <row r="833" ht="15.75">
      <c r="B833" s="65"/>
    </row>
    <row r="834" ht="15.75">
      <c r="B834" s="65"/>
    </row>
    <row r="835" ht="15.75">
      <c r="B835" s="65"/>
    </row>
    <row r="836" ht="15.75">
      <c r="B836" s="65"/>
    </row>
    <row r="837" ht="15.75">
      <c r="B837" s="65"/>
    </row>
    <row r="838" ht="15.75">
      <c r="B838" s="65"/>
    </row>
    <row r="839" ht="15.75">
      <c r="B839" s="65"/>
    </row>
    <row r="840" ht="15.75">
      <c r="B840" s="65"/>
    </row>
    <row r="841" ht="15.75">
      <c r="B841" s="65"/>
    </row>
    <row r="842" ht="15.75">
      <c r="B842" s="65"/>
    </row>
    <row r="843" ht="15.75">
      <c r="B843" s="65"/>
    </row>
    <row r="844" ht="15.75">
      <c r="B844" s="65"/>
    </row>
    <row r="845" ht="15.75">
      <c r="B845" s="65"/>
    </row>
    <row r="846" ht="15.75">
      <c r="B846" s="65"/>
    </row>
    <row r="847" ht="15.75">
      <c r="B847" s="65"/>
    </row>
    <row r="848" ht="15.75">
      <c r="B848" s="65"/>
    </row>
    <row r="849" ht="15.75">
      <c r="B849" s="65"/>
    </row>
    <row r="850" ht="15.75">
      <c r="B850" s="65"/>
    </row>
    <row r="851" ht="15.75">
      <c r="B851" s="65"/>
    </row>
    <row r="852" ht="15.75">
      <c r="B852" s="65"/>
    </row>
    <row r="853" ht="15.75">
      <c r="B853" s="65"/>
    </row>
    <row r="854" ht="15.75">
      <c r="B854" s="65"/>
    </row>
    <row r="855" ht="15.75">
      <c r="B855" s="65"/>
    </row>
    <row r="856" ht="15.75">
      <c r="B856" s="65"/>
    </row>
    <row r="857" ht="15.75">
      <c r="B857" s="65"/>
    </row>
    <row r="858" ht="15.75">
      <c r="B858" s="65"/>
    </row>
    <row r="859" ht="15.75">
      <c r="B859" s="65"/>
    </row>
    <row r="860" ht="15.75">
      <c r="B860" s="65"/>
    </row>
    <row r="861" ht="15.75">
      <c r="B861" s="65"/>
    </row>
    <row r="862" ht="15.75">
      <c r="B862" s="65"/>
    </row>
    <row r="863" ht="15.75">
      <c r="B863" s="65"/>
    </row>
    <row r="864" ht="15.75">
      <c r="B864" s="65"/>
    </row>
    <row r="865" ht="15.75">
      <c r="B865" s="65"/>
    </row>
    <row r="866" ht="15.75">
      <c r="B866" s="65"/>
    </row>
    <row r="867" ht="15.75">
      <c r="B867" s="65"/>
    </row>
    <row r="868" ht="15.75">
      <c r="B868" s="65"/>
    </row>
    <row r="869" ht="15.75">
      <c r="B869" s="65"/>
    </row>
    <row r="870" ht="15.75">
      <c r="B870" s="65"/>
    </row>
    <row r="871" ht="15.75">
      <c r="B871" s="65"/>
    </row>
    <row r="872" ht="15.75">
      <c r="B872" s="65"/>
    </row>
    <row r="873" ht="15.75">
      <c r="B873" s="65"/>
    </row>
    <row r="874" ht="15.75">
      <c r="B874" s="65"/>
    </row>
    <row r="875" ht="15.75">
      <c r="B875" s="65"/>
    </row>
    <row r="876" ht="15.75">
      <c r="B876" s="65"/>
    </row>
    <row r="877" ht="15.75">
      <c r="B877" s="65"/>
    </row>
    <row r="878" ht="15.75">
      <c r="B878" s="65"/>
    </row>
    <row r="879" ht="15.75">
      <c r="B879" s="65"/>
    </row>
    <row r="880" ht="15.75">
      <c r="B880" s="65"/>
    </row>
    <row r="881" ht="15.75">
      <c r="B881" s="65"/>
    </row>
    <row r="882" ht="15.75">
      <c r="B882" s="65"/>
    </row>
    <row r="883" ht="15.75">
      <c r="B883" s="65"/>
    </row>
    <row r="884" ht="15.75">
      <c r="B884" s="65"/>
    </row>
    <row r="885" ht="15.75">
      <c r="B885" s="65"/>
    </row>
    <row r="886" ht="15.75">
      <c r="B886" s="65"/>
    </row>
    <row r="887" ht="15.75">
      <c r="B887" s="65"/>
    </row>
    <row r="888" ht="15.75">
      <c r="B888" s="65"/>
    </row>
    <row r="889" ht="15.75">
      <c r="B889" s="65"/>
    </row>
    <row r="890" ht="15.75">
      <c r="B890" s="65"/>
    </row>
    <row r="891" ht="15.75">
      <c r="B891" s="65"/>
    </row>
    <row r="892" ht="15.75">
      <c r="B892" s="65"/>
    </row>
    <row r="893" ht="15.75">
      <c r="B893" s="65"/>
    </row>
    <row r="894" ht="15.75">
      <c r="B894" s="65"/>
    </row>
    <row r="895" ht="15.75">
      <c r="B895" s="65"/>
    </row>
    <row r="896" ht="15.75">
      <c r="B896" s="65"/>
    </row>
    <row r="897" ht="15.75">
      <c r="B897" s="65"/>
    </row>
    <row r="898" ht="15.75">
      <c r="B898" s="65"/>
    </row>
    <row r="899" ht="15.75">
      <c r="B899" s="65"/>
    </row>
    <row r="900" ht="15.75">
      <c r="B900" s="65"/>
    </row>
    <row r="901" ht="15.75">
      <c r="B901" s="65"/>
    </row>
    <row r="902" ht="15.75">
      <c r="B902" s="65"/>
    </row>
    <row r="903" ht="15.75">
      <c r="B903" s="65"/>
    </row>
    <row r="904" ht="15.75">
      <c r="B904" s="65"/>
    </row>
    <row r="905" ht="15.75">
      <c r="B905" s="65"/>
    </row>
    <row r="906" ht="15.75">
      <c r="B906" s="65"/>
    </row>
    <row r="907" ht="15.75">
      <c r="B907" s="65"/>
    </row>
    <row r="908" ht="15.75">
      <c r="B908" s="65"/>
    </row>
    <row r="909" ht="15.75">
      <c r="B909" s="65"/>
    </row>
    <row r="910" ht="15.75">
      <c r="B910" s="65"/>
    </row>
    <row r="911" ht="15.75">
      <c r="B911" s="65"/>
    </row>
    <row r="912" ht="15.75">
      <c r="B912" s="65"/>
    </row>
    <row r="913" ht="15.75">
      <c r="B913" s="65"/>
    </row>
    <row r="914" ht="15.75">
      <c r="B914" s="65"/>
    </row>
    <row r="915" ht="15.75">
      <c r="B915" s="65"/>
    </row>
    <row r="916" ht="15.75">
      <c r="B916" s="65"/>
    </row>
    <row r="917" ht="15.75">
      <c r="B917" s="65"/>
    </row>
    <row r="918" ht="15.75">
      <c r="B918" s="65"/>
    </row>
    <row r="919" ht="15.75">
      <c r="B919" s="65"/>
    </row>
    <row r="920" ht="15.75">
      <c r="B920" s="65"/>
    </row>
    <row r="921" ht="15.75">
      <c r="B921" s="65"/>
    </row>
    <row r="922" ht="15.75">
      <c r="B922" s="65"/>
    </row>
    <row r="923" ht="15.75">
      <c r="B923" s="65"/>
    </row>
    <row r="924" ht="15.75">
      <c r="B924" s="65"/>
    </row>
    <row r="925" ht="15.75">
      <c r="B925" s="65"/>
    </row>
    <row r="926" ht="15.75">
      <c r="B926" s="65"/>
    </row>
    <row r="927" ht="15.75">
      <c r="B927" s="65"/>
    </row>
    <row r="928" ht="15.75">
      <c r="B928" s="65"/>
    </row>
    <row r="929" ht="15.75">
      <c r="B929" s="65"/>
    </row>
    <row r="930" ht="15.75">
      <c r="B930" s="65"/>
    </row>
    <row r="931" ht="15.75">
      <c r="B931" s="65"/>
    </row>
    <row r="932" ht="15.75">
      <c r="B932" s="65"/>
    </row>
    <row r="933" ht="15.75">
      <c r="B933" s="65"/>
    </row>
    <row r="934" ht="15.75">
      <c r="B934" s="65"/>
    </row>
    <row r="935" ht="15.75">
      <c r="B935" s="65"/>
    </row>
    <row r="936" ht="15.75">
      <c r="B936" s="65"/>
    </row>
    <row r="937" ht="15.75">
      <c r="B937" s="65"/>
    </row>
    <row r="938" ht="15.75">
      <c r="B938" s="65"/>
    </row>
    <row r="939" ht="15.75">
      <c r="B939" s="65"/>
    </row>
    <row r="940" ht="15.75">
      <c r="B940" s="65"/>
    </row>
    <row r="941" ht="15.75">
      <c r="B941" s="65"/>
    </row>
    <row r="942" ht="15.75">
      <c r="B942" s="65"/>
    </row>
    <row r="943" ht="15.75">
      <c r="B943" s="65"/>
    </row>
    <row r="944" ht="15.75">
      <c r="B944" s="65"/>
    </row>
    <row r="945" ht="15.75">
      <c r="B945" s="65"/>
    </row>
    <row r="946" ht="15.75">
      <c r="B946" s="65"/>
    </row>
    <row r="947" ht="15.75">
      <c r="B947" s="65"/>
    </row>
    <row r="948" ht="15.75">
      <c r="B948" s="65"/>
    </row>
    <row r="949" ht="15.75">
      <c r="B949" s="65"/>
    </row>
    <row r="950" ht="15.75">
      <c r="B950" s="65"/>
    </row>
    <row r="951" ht="15.75">
      <c r="B951" s="65"/>
    </row>
    <row r="952" ht="15.75">
      <c r="B952" s="65"/>
    </row>
    <row r="953" ht="15.75">
      <c r="B953" s="65"/>
    </row>
    <row r="954" ht="15.75">
      <c r="B954" s="65"/>
    </row>
    <row r="955" ht="15.75">
      <c r="B955" s="65"/>
    </row>
    <row r="956" ht="15.75">
      <c r="B956" s="65"/>
    </row>
    <row r="957" ht="15.75">
      <c r="B957" s="65"/>
    </row>
    <row r="958" ht="15.75">
      <c r="B958" s="65"/>
    </row>
    <row r="959" ht="15.75">
      <c r="B959" s="65"/>
    </row>
    <row r="960" ht="15.75">
      <c r="B960" s="65"/>
    </row>
    <row r="961" ht="15.75">
      <c r="B961" s="65"/>
    </row>
    <row r="962" ht="15.75">
      <c r="B962" s="65"/>
    </row>
    <row r="963" ht="15.75">
      <c r="B963" s="65"/>
    </row>
    <row r="964" ht="15.75">
      <c r="B964" s="65"/>
    </row>
    <row r="965" ht="15.75">
      <c r="B965" s="65"/>
    </row>
    <row r="966" ht="15.75">
      <c r="B966" s="65"/>
    </row>
    <row r="967" ht="15.75">
      <c r="B967" s="65"/>
    </row>
    <row r="968" ht="15.75">
      <c r="B968" s="65"/>
    </row>
    <row r="969" ht="15.75">
      <c r="B969" s="65"/>
    </row>
    <row r="970" ht="15.75">
      <c r="B970" s="65"/>
    </row>
    <row r="971" ht="15.75">
      <c r="B971" s="65"/>
    </row>
    <row r="972" ht="15.75">
      <c r="B972" s="65"/>
    </row>
    <row r="973" ht="15.75">
      <c r="B973" s="65"/>
    </row>
    <row r="974" ht="15.75">
      <c r="B974" s="65"/>
    </row>
    <row r="975" ht="15.75">
      <c r="B975" s="65"/>
    </row>
    <row r="976" ht="15.75">
      <c r="B976" s="65"/>
    </row>
    <row r="977" ht="15.75">
      <c r="B977" s="65"/>
    </row>
    <row r="978" ht="15.75">
      <c r="B978" s="65"/>
    </row>
    <row r="979" ht="15.75">
      <c r="B979" s="65"/>
    </row>
    <row r="980" ht="15.75">
      <c r="B980" s="65"/>
    </row>
    <row r="981" ht="15.75">
      <c r="B981" s="65"/>
    </row>
    <row r="982" ht="15.75">
      <c r="B982" s="65"/>
    </row>
    <row r="983" ht="15.75">
      <c r="B983" s="65"/>
    </row>
    <row r="984" ht="15.75">
      <c r="B984" s="65"/>
    </row>
    <row r="985" ht="15.75">
      <c r="B985" s="65"/>
    </row>
    <row r="986" ht="15.75">
      <c r="B986" s="65"/>
    </row>
    <row r="987" ht="15.75">
      <c r="B987" s="65"/>
    </row>
    <row r="988" ht="15.75">
      <c r="B988" s="65"/>
    </row>
    <row r="989" ht="15.75">
      <c r="B989" s="65"/>
    </row>
    <row r="990" ht="15.75">
      <c r="B990" s="65"/>
    </row>
    <row r="991" ht="15.75">
      <c r="B991" s="65"/>
    </row>
    <row r="992" ht="15.75">
      <c r="B992" s="65"/>
    </row>
    <row r="993" ht="15.75">
      <c r="B993" s="65"/>
    </row>
    <row r="994" ht="15.75">
      <c r="B994" s="65"/>
    </row>
    <row r="995" ht="15.75">
      <c r="B995" s="65"/>
    </row>
    <row r="996" ht="15.75">
      <c r="B996" s="65"/>
    </row>
    <row r="997" ht="15.75">
      <c r="B997" s="65"/>
    </row>
    <row r="998" ht="15.75">
      <c r="B998" s="65"/>
    </row>
    <row r="999" ht="15.75">
      <c r="B999" s="65"/>
    </row>
    <row r="1000" ht="15.75">
      <c r="B1000" s="65"/>
    </row>
    <row r="1001" ht="15.75">
      <c r="B1001" s="65"/>
    </row>
    <row r="1002" ht="15.75">
      <c r="B1002" s="65"/>
    </row>
    <row r="1003" ht="15.75">
      <c r="B1003" s="65"/>
    </row>
    <row r="1004" ht="15.75">
      <c r="B1004" s="65"/>
    </row>
    <row r="1005" ht="15.75">
      <c r="B1005" s="65"/>
    </row>
    <row r="1006" ht="15.75">
      <c r="B1006" s="65"/>
    </row>
    <row r="1007" ht="15.75">
      <c r="B1007" s="65"/>
    </row>
    <row r="1008" ht="15.75">
      <c r="B1008" s="65"/>
    </row>
    <row r="1009" ht="15.75">
      <c r="B1009" s="65"/>
    </row>
    <row r="1010" ht="15.75">
      <c r="B1010" s="65"/>
    </row>
    <row r="1011" ht="15.75">
      <c r="B1011" s="65"/>
    </row>
    <row r="1012" ht="15.75">
      <c r="B1012" s="65"/>
    </row>
    <row r="1013" ht="15.75">
      <c r="B1013" s="65"/>
    </row>
    <row r="1014" ht="15.75">
      <c r="B1014" s="65"/>
    </row>
    <row r="1015" ht="15.75">
      <c r="B1015" s="65"/>
    </row>
    <row r="1016" ht="15.75">
      <c r="B1016" s="65"/>
    </row>
    <row r="1017" ht="15.75">
      <c r="B1017" s="65"/>
    </row>
    <row r="1018" ht="15.75">
      <c r="B1018" s="65"/>
    </row>
    <row r="1019" ht="15.75">
      <c r="B1019" s="65"/>
    </row>
    <row r="1020" ht="15.75">
      <c r="B1020" s="65"/>
    </row>
    <row r="1021" ht="15.75">
      <c r="B1021" s="65"/>
    </row>
    <row r="1022" ht="15.75">
      <c r="B1022" s="65"/>
    </row>
    <row r="1023" ht="15.75">
      <c r="B1023" s="65"/>
    </row>
    <row r="1024" ht="15.75">
      <c r="B1024" s="65"/>
    </row>
    <row r="1025" ht="15.75">
      <c r="B1025" s="65"/>
    </row>
    <row r="1026" ht="15.75">
      <c r="B1026" s="65"/>
    </row>
    <row r="1027" ht="15.75">
      <c r="B1027" s="65"/>
    </row>
    <row r="1028" ht="15.75">
      <c r="B1028" s="65"/>
    </row>
    <row r="1029" ht="15.75">
      <c r="B1029" s="65"/>
    </row>
    <row r="1030" ht="15.75">
      <c r="B1030" s="65"/>
    </row>
    <row r="1031" ht="15.75">
      <c r="B1031" s="65"/>
    </row>
    <row r="1032" ht="15.75">
      <c r="B1032" s="65"/>
    </row>
    <row r="1033" ht="15.75">
      <c r="B1033" s="65"/>
    </row>
    <row r="1034" ht="15.75">
      <c r="B1034" s="65"/>
    </row>
    <row r="1035" ht="15.75">
      <c r="B1035" s="65"/>
    </row>
    <row r="1036" ht="15.75">
      <c r="B1036" s="65"/>
    </row>
    <row r="1037" ht="15.75">
      <c r="B1037" s="65"/>
    </row>
    <row r="1038" ht="15.75">
      <c r="B1038" s="65"/>
    </row>
    <row r="1039" ht="15.75">
      <c r="B1039" s="65"/>
    </row>
    <row r="1040" ht="15.75">
      <c r="B1040" s="65"/>
    </row>
    <row r="1041" ht="15.75">
      <c r="B1041" s="65"/>
    </row>
    <row r="1042" ht="15.75">
      <c r="B1042" s="65"/>
    </row>
    <row r="1043" ht="15.75">
      <c r="B1043" s="65"/>
    </row>
    <row r="1044" ht="15.75">
      <c r="B1044" s="65"/>
    </row>
    <row r="1045" ht="15.75">
      <c r="B1045" s="65"/>
    </row>
    <row r="1046" ht="15.75">
      <c r="B1046" s="65"/>
    </row>
    <row r="1047" ht="15.75">
      <c r="B1047" s="65"/>
    </row>
    <row r="1048" ht="15.75">
      <c r="B1048" s="65"/>
    </row>
    <row r="1049" ht="15.75">
      <c r="B1049" s="65"/>
    </row>
    <row r="1050" ht="15.75">
      <c r="B1050" s="65"/>
    </row>
    <row r="1051" ht="15.75">
      <c r="B1051" s="65"/>
    </row>
    <row r="1052" ht="15.75">
      <c r="B1052" s="65"/>
    </row>
    <row r="1053" ht="15.75">
      <c r="B1053" s="65"/>
    </row>
    <row r="1054" ht="15.75">
      <c r="B1054" s="65"/>
    </row>
    <row r="1055" ht="15.75">
      <c r="B1055" s="65"/>
    </row>
    <row r="1056" ht="15.75">
      <c r="B1056" s="65"/>
    </row>
    <row r="1057" ht="15.75">
      <c r="B1057" s="65"/>
    </row>
    <row r="1058" ht="15.75">
      <c r="B1058" s="65"/>
    </row>
    <row r="1059" ht="15.75">
      <c r="B1059" s="65"/>
    </row>
    <row r="1060" ht="15.75">
      <c r="B1060" s="65"/>
    </row>
    <row r="1061" ht="15.75">
      <c r="B1061" s="65"/>
    </row>
    <row r="1062" ht="15.75">
      <c r="B1062" s="65"/>
    </row>
    <row r="1063" ht="15.75">
      <c r="B1063" s="65"/>
    </row>
    <row r="1064" ht="15.75">
      <c r="B1064" s="65"/>
    </row>
    <row r="1065" ht="15.75">
      <c r="B1065" s="65"/>
    </row>
    <row r="1066" ht="15.75">
      <c r="B1066" s="65"/>
    </row>
    <row r="1067" ht="15.75">
      <c r="B1067" s="65"/>
    </row>
    <row r="1068" ht="15.75">
      <c r="B1068" s="65"/>
    </row>
    <row r="1069" ht="15.75">
      <c r="B1069" s="65"/>
    </row>
    <row r="1070" ht="15.75">
      <c r="B1070" s="65"/>
    </row>
    <row r="1071" ht="15.75">
      <c r="B1071" s="65"/>
    </row>
    <row r="1072" ht="15.75">
      <c r="B1072" s="65"/>
    </row>
    <row r="1073" ht="15.75">
      <c r="B1073" s="65"/>
    </row>
    <row r="1074" ht="15.75">
      <c r="B1074" s="65"/>
    </row>
    <row r="1075" ht="15.75">
      <c r="B1075" s="65"/>
    </row>
    <row r="1076" ht="15.75">
      <c r="B1076" s="65"/>
    </row>
    <row r="1077" ht="15.75">
      <c r="B1077" s="65"/>
    </row>
    <row r="1078" ht="15.75">
      <c r="B1078" s="65"/>
    </row>
    <row r="1079" ht="15.75">
      <c r="B1079" s="65"/>
    </row>
    <row r="1080" ht="15.75">
      <c r="B1080" s="65"/>
    </row>
    <row r="1081" ht="15.75">
      <c r="B1081" s="65"/>
    </row>
    <row r="1082" ht="15.75">
      <c r="B1082" s="65"/>
    </row>
    <row r="1083" ht="15.75">
      <c r="B1083" s="65"/>
    </row>
    <row r="1084" ht="15.75">
      <c r="B1084" s="65"/>
    </row>
    <row r="1085" ht="15.75">
      <c r="B1085" s="65"/>
    </row>
    <row r="1086" ht="15.75">
      <c r="B1086" s="65"/>
    </row>
    <row r="1087" ht="15.75">
      <c r="B1087" s="65"/>
    </row>
    <row r="1088" ht="15.75">
      <c r="B1088" s="65"/>
    </row>
    <row r="1089" ht="15.75">
      <c r="B1089" s="65"/>
    </row>
    <row r="1090" ht="15.75">
      <c r="B1090" s="65"/>
    </row>
    <row r="1091" ht="15.75">
      <c r="B1091" s="65"/>
    </row>
    <row r="1092" ht="15.75">
      <c r="B1092" s="65"/>
    </row>
    <row r="1093" ht="15.75">
      <c r="B1093" s="65"/>
    </row>
    <row r="1094" ht="15.75">
      <c r="B1094" s="65"/>
    </row>
    <row r="1095" ht="15.75">
      <c r="B1095" s="65"/>
    </row>
    <row r="1096" ht="15.75">
      <c r="B1096" s="65"/>
    </row>
    <row r="1097" ht="15.75">
      <c r="B1097" s="65"/>
    </row>
    <row r="1098" ht="15.75">
      <c r="B1098" s="65"/>
    </row>
    <row r="1099" ht="15.75">
      <c r="B1099" s="65"/>
    </row>
    <row r="1100" ht="15.75">
      <c r="B1100" s="65"/>
    </row>
    <row r="1101" ht="15.75">
      <c r="B1101" s="65"/>
    </row>
    <row r="1102" ht="15.75">
      <c r="B1102" s="65"/>
    </row>
    <row r="1103" ht="15.75">
      <c r="B1103" s="65"/>
    </row>
    <row r="1104" ht="15.75">
      <c r="B1104" s="65"/>
    </row>
    <row r="1105" ht="15.75">
      <c r="B1105" s="65"/>
    </row>
    <row r="1106" ht="15.75">
      <c r="B1106" s="65"/>
    </row>
    <row r="1107" ht="15.75">
      <c r="B1107" s="65"/>
    </row>
    <row r="1108" ht="15.75">
      <c r="B1108" s="65"/>
    </row>
    <row r="1109" ht="15.75">
      <c r="B1109" s="65"/>
    </row>
    <row r="1110" ht="15.75">
      <c r="B1110" s="65"/>
    </row>
    <row r="1111" ht="15.75">
      <c r="B1111" s="65"/>
    </row>
    <row r="1112" ht="15.75">
      <c r="B1112" s="65"/>
    </row>
    <row r="1113" ht="15.75">
      <c r="B1113" s="65"/>
    </row>
    <row r="1114" ht="15.75">
      <c r="B1114" s="65"/>
    </row>
    <row r="1115" ht="15.75">
      <c r="B1115" s="65"/>
    </row>
    <row r="1116" ht="15.75">
      <c r="B1116" s="65"/>
    </row>
    <row r="1117" ht="15.75">
      <c r="B1117" s="65"/>
    </row>
    <row r="1118" ht="15.75">
      <c r="B1118" s="65"/>
    </row>
    <row r="1119" ht="15.75">
      <c r="B1119" s="65"/>
    </row>
    <row r="1120" ht="15.75">
      <c r="B1120" s="65"/>
    </row>
    <row r="1121" ht="15.75">
      <c r="B1121" s="65"/>
    </row>
    <row r="1122" ht="15.75">
      <c r="B1122" s="65"/>
    </row>
    <row r="1123" ht="15.75">
      <c r="B1123" s="65"/>
    </row>
    <row r="1124" ht="15.75">
      <c r="B1124" s="65"/>
    </row>
    <row r="1125" ht="15.75">
      <c r="B1125" s="65"/>
    </row>
    <row r="1126" ht="15.75">
      <c r="B1126" s="65"/>
    </row>
    <row r="1127" ht="15.75">
      <c r="B1127" s="65"/>
    </row>
    <row r="1128" ht="15.75">
      <c r="B1128" s="65"/>
    </row>
    <row r="1129" ht="15.75">
      <c r="B1129" s="65"/>
    </row>
    <row r="1130" ht="15.75">
      <c r="B1130" s="65"/>
    </row>
    <row r="1131" ht="15.75">
      <c r="B1131" s="65"/>
    </row>
    <row r="1132" ht="15.75">
      <c r="B1132" s="65"/>
    </row>
    <row r="1133" ht="15.75">
      <c r="B1133" s="65"/>
    </row>
    <row r="1134" ht="15.75">
      <c r="B1134" s="65"/>
    </row>
    <row r="1135" ht="15.75">
      <c r="B1135" s="65"/>
    </row>
    <row r="1136" ht="15.75">
      <c r="B1136" s="65"/>
    </row>
    <row r="1137" ht="15.75">
      <c r="B1137" s="65"/>
    </row>
    <row r="1138" ht="15.75">
      <c r="B1138" s="65"/>
    </row>
    <row r="1139" ht="15.75">
      <c r="B1139" s="65"/>
    </row>
    <row r="1140" ht="15.75">
      <c r="B1140" s="65"/>
    </row>
    <row r="1141" ht="15.75">
      <c r="B1141" s="65"/>
    </row>
    <row r="1142" ht="15.75">
      <c r="B1142" s="65"/>
    </row>
    <row r="1143" ht="15.75">
      <c r="B1143" s="65"/>
    </row>
    <row r="1144" ht="15.75">
      <c r="B1144" s="65"/>
    </row>
    <row r="1145" ht="15.75">
      <c r="B1145" s="65"/>
    </row>
    <row r="1146" ht="15.75">
      <c r="B1146" s="65"/>
    </row>
    <row r="1147" ht="15.75">
      <c r="B1147" s="65"/>
    </row>
    <row r="1148" ht="15.75">
      <c r="B1148" s="65"/>
    </row>
    <row r="1149" ht="15.75">
      <c r="B1149" s="65"/>
    </row>
    <row r="1150" ht="15.75">
      <c r="B1150" s="65"/>
    </row>
    <row r="1151" ht="15.75">
      <c r="B1151" s="65"/>
    </row>
    <row r="1152" ht="15.75">
      <c r="B1152" s="65"/>
    </row>
    <row r="1153" ht="15.75">
      <c r="B1153" s="65"/>
    </row>
    <row r="1154" ht="15.75">
      <c r="B1154" s="65"/>
    </row>
    <row r="1155" ht="15.75">
      <c r="B1155" s="65"/>
    </row>
    <row r="1156" ht="15.75">
      <c r="B1156" s="65"/>
    </row>
    <row r="1157" ht="15.75">
      <c r="B1157" s="65"/>
    </row>
    <row r="1158" ht="15.75">
      <c r="B1158" s="65"/>
    </row>
    <row r="1159" ht="15.75">
      <c r="B1159" s="65"/>
    </row>
    <row r="1160" ht="15.75">
      <c r="B1160" s="65"/>
    </row>
    <row r="1161" ht="15.75">
      <c r="B1161" s="65"/>
    </row>
    <row r="1162" ht="15.75">
      <c r="B1162" s="65"/>
    </row>
    <row r="1163" ht="15.75">
      <c r="B1163" s="65"/>
    </row>
    <row r="1164" ht="15.75">
      <c r="B1164" s="65"/>
    </row>
    <row r="1165" ht="15.75">
      <c r="B1165" s="65"/>
    </row>
    <row r="1166" ht="15.75">
      <c r="B1166" s="65"/>
    </row>
    <row r="1167" ht="15.75">
      <c r="B1167" s="65"/>
    </row>
    <row r="1168" ht="15.75">
      <c r="B1168" s="65"/>
    </row>
    <row r="1169" ht="15.75">
      <c r="B1169" s="65"/>
    </row>
    <row r="1170" ht="15.75">
      <c r="B1170" s="65"/>
    </row>
    <row r="1171" ht="15.75">
      <c r="B1171" s="65"/>
    </row>
    <row r="1172" ht="15.75">
      <c r="B1172" s="65"/>
    </row>
    <row r="1173" ht="15.75">
      <c r="B1173" s="65"/>
    </row>
    <row r="1174" ht="15.75">
      <c r="B1174" s="65"/>
    </row>
    <row r="1175" ht="15.75">
      <c r="B1175" s="65"/>
    </row>
    <row r="1176" ht="15.75">
      <c r="B1176" s="65"/>
    </row>
    <row r="1177" ht="15.75">
      <c r="B1177" s="65"/>
    </row>
    <row r="1178" ht="15.75">
      <c r="B1178" s="65"/>
    </row>
    <row r="1179" ht="15.75">
      <c r="B1179" s="65"/>
    </row>
    <row r="1180" ht="15.75">
      <c r="B1180" s="65"/>
    </row>
    <row r="1181" ht="15.75">
      <c r="B1181" s="65"/>
    </row>
    <row r="1182" ht="15.75">
      <c r="B1182" s="65"/>
    </row>
    <row r="1183" ht="15.75">
      <c r="B1183" s="65"/>
    </row>
    <row r="1184" ht="15.75">
      <c r="B1184" s="65"/>
    </row>
    <row r="1185" ht="15.75">
      <c r="B1185" s="65"/>
    </row>
    <row r="1186" ht="15.75">
      <c r="B1186" s="65"/>
    </row>
    <row r="1187" ht="15.75">
      <c r="B1187" s="65"/>
    </row>
    <row r="1188" ht="15.75">
      <c r="B1188" s="65"/>
    </row>
    <row r="1189" ht="15.75">
      <c r="B1189" s="65"/>
    </row>
    <row r="1190" ht="15.75">
      <c r="B1190" s="65"/>
    </row>
    <row r="1191" ht="15.75">
      <c r="B1191" s="65"/>
    </row>
    <row r="1192" ht="15.75">
      <c r="B1192" s="65"/>
    </row>
    <row r="1193" ht="15.75">
      <c r="B1193" s="65"/>
    </row>
    <row r="1194" ht="15.75">
      <c r="B1194" s="65"/>
    </row>
    <row r="1195" ht="15.75">
      <c r="B1195" s="65"/>
    </row>
    <row r="1196" ht="15.75">
      <c r="B1196" s="65"/>
    </row>
    <row r="1197" ht="15.75">
      <c r="B1197" s="65"/>
    </row>
    <row r="1198" ht="15.75">
      <c r="B1198" s="65"/>
    </row>
    <row r="1199" ht="15.75">
      <c r="B1199" s="65"/>
    </row>
    <row r="1200" ht="15.75">
      <c r="B1200" s="65"/>
    </row>
    <row r="1201" ht="15.75">
      <c r="B1201" s="65"/>
    </row>
    <row r="1202" ht="15.75">
      <c r="B1202" s="65"/>
    </row>
    <row r="1203" ht="15.75">
      <c r="B1203" s="65"/>
    </row>
    <row r="1204" ht="15.75">
      <c r="B1204" s="65"/>
    </row>
    <row r="1205" ht="15.75">
      <c r="B1205" s="65"/>
    </row>
    <row r="1206" ht="15.75">
      <c r="B1206" s="65"/>
    </row>
    <row r="1207" ht="15.75">
      <c r="B1207" s="65"/>
    </row>
    <row r="1208" ht="15.75">
      <c r="B1208" s="65"/>
    </row>
    <row r="1209" ht="15.75">
      <c r="B1209" s="65"/>
    </row>
    <row r="1210" ht="15.75">
      <c r="B1210" s="65"/>
    </row>
    <row r="1211" ht="15.75">
      <c r="B1211" s="65"/>
    </row>
    <row r="1212" ht="15.75">
      <c r="B1212" s="65"/>
    </row>
    <row r="1213" ht="15.75">
      <c r="B1213" s="65"/>
    </row>
    <row r="1214" ht="15.75">
      <c r="B1214" s="65"/>
    </row>
    <row r="1215" ht="15.75">
      <c r="B1215" s="65"/>
    </row>
    <row r="1216" ht="15.75">
      <c r="B1216" s="65"/>
    </row>
    <row r="1217" ht="15.75">
      <c r="B1217" s="65"/>
    </row>
    <row r="1218" ht="15.75">
      <c r="B1218" s="65"/>
    </row>
    <row r="1219" ht="15.75">
      <c r="B1219" s="65"/>
    </row>
    <row r="1220" ht="15.75">
      <c r="B1220" s="65"/>
    </row>
    <row r="1221" ht="15.75">
      <c r="B1221" s="65"/>
    </row>
    <row r="1222" ht="15.75">
      <c r="B1222" s="65"/>
    </row>
    <row r="1223" ht="15.75">
      <c r="B1223" s="65"/>
    </row>
    <row r="1224" ht="15.75">
      <c r="B1224" s="65"/>
    </row>
    <row r="1225" ht="15.75">
      <c r="B1225" s="65"/>
    </row>
    <row r="1226" ht="15.75">
      <c r="B1226" s="65"/>
    </row>
    <row r="1227" ht="15.75">
      <c r="B1227" s="65"/>
    </row>
    <row r="1228" ht="15.75">
      <c r="B1228" s="65"/>
    </row>
    <row r="1229" ht="15.75">
      <c r="B1229" s="65"/>
    </row>
    <row r="1230" ht="15.75">
      <c r="B1230" s="65"/>
    </row>
    <row r="1231" ht="15.75">
      <c r="B1231" s="65"/>
    </row>
    <row r="1232" ht="15.75">
      <c r="B1232" s="65"/>
    </row>
    <row r="1233" ht="15.75">
      <c r="B1233" s="65"/>
    </row>
    <row r="1234" ht="15.75">
      <c r="B1234" s="65"/>
    </row>
    <row r="1235" ht="15.75">
      <c r="B1235" s="65"/>
    </row>
    <row r="1236" ht="15.75">
      <c r="B1236" s="65"/>
    </row>
    <row r="1237" ht="15.75">
      <c r="B1237" s="65"/>
    </row>
    <row r="1238" ht="15.75">
      <c r="B1238" s="65"/>
    </row>
    <row r="1239" ht="15.75">
      <c r="B1239" s="65"/>
    </row>
    <row r="1240" ht="15.75">
      <c r="B1240" s="65"/>
    </row>
    <row r="1241" ht="15.75">
      <c r="B1241" s="65"/>
    </row>
    <row r="1242" ht="15.75">
      <c r="B1242" s="65"/>
    </row>
    <row r="1243" ht="15.75">
      <c r="B1243" s="65"/>
    </row>
    <row r="1244" ht="15.75">
      <c r="B1244" s="65"/>
    </row>
    <row r="1245" ht="15.75">
      <c r="B1245" s="65"/>
    </row>
    <row r="1246" ht="15.75">
      <c r="B1246" s="65"/>
    </row>
    <row r="1247" ht="15.75">
      <c r="B1247" s="65"/>
    </row>
    <row r="1248" ht="15.75">
      <c r="B1248" s="65"/>
    </row>
    <row r="1249" ht="15.75">
      <c r="B1249" s="65"/>
    </row>
    <row r="1250" ht="15.75">
      <c r="B1250" s="65"/>
    </row>
    <row r="1251" ht="15.75">
      <c r="B1251" s="65"/>
    </row>
    <row r="1252" ht="15.75">
      <c r="B1252" s="65"/>
    </row>
    <row r="1253" ht="15.75">
      <c r="B1253" s="65"/>
    </row>
    <row r="1254" ht="15.75">
      <c r="B1254" s="65"/>
    </row>
    <row r="1255" ht="15.75">
      <c r="B1255" s="65"/>
    </row>
    <row r="1256" ht="15.75">
      <c r="B1256" s="65"/>
    </row>
    <row r="1257" ht="15.75">
      <c r="B1257" s="65"/>
    </row>
    <row r="1258" ht="15.75">
      <c r="B1258" s="65"/>
    </row>
    <row r="1259" ht="15.75">
      <c r="B1259" s="65"/>
    </row>
    <row r="1260" ht="15.75">
      <c r="B1260" s="65"/>
    </row>
    <row r="1261" ht="15.75">
      <c r="B1261" s="65"/>
    </row>
    <row r="1262" ht="15.75">
      <c r="B1262" s="65"/>
    </row>
    <row r="1263" ht="15.75">
      <c r="B1263" s="65"/>
    </row>
    <row r="1264" ht="15.75">
      <c r="B1264" s="65"/>
    </row>
    <row r="1265" ht="15.75">
      <c r="B1265" s="65"/>
    </row>
    <row r="1266" ht="15.75">
      <c r="B1266" s="65"/>
    </row>
    <row r="1267" ht="15.75">
      <c r="B1267" s="65"/>
    </row>
    <row r="1268" ht="15.75">
      <c r="B1268" s="65"/>
    </row>
    <row r="1269" ht="15.75">
      <c r="B1269" s="65"/>
    </row>
    <row r="1270" ht="15.75">
      <c r="B1270" s="65"/>
    </row>
    <row r="1271" ht="15.75">
      <c r="B1271" s="65"/>
    </row>
    <row r="1272" ht="15.75">
      <c r="B1272" s="65"/>
    </row>
    <row r="1273" ht="15.75">
      <c r="B1273" s="65"/>
    </row>
    <row r="1274" ht="15.75">
      <c r="B1274" s="65"/>
    </row>
    <row r="1275" ht="15.75">
      <c r="B1275" s="65"/>
    </row>
    <row r="1276" ht="15.75">
      <c r="B1276" s="65"/>
    </row>
  </sheetData>
  <sheetProtection/>
  <mergeCells count="70">
    <mergeCell ref="A3:I3"/>
    <mergeCell ref="F6:F7"/>
    <mergeCell ref="A6:A7"/>
    <mergeCell ref="B6:B7"/>
    <mergeCell ref="D6:D7"/>
    <mergeCell ref="E6:E7"/>
    <mergeCell ref="C6:C7"/>
    <mergeCell ref="A8:I8"/>
    <mergeCell ref="A199:I199"/>
    <mergeCell ref="A308:I308"/>
    <mergeCell ref="A204:I204"/>
    <mergeCell ref="A200:I200"/>
    <mergeCell ref="A207:I207"/>
    <mergeCell ref="A210:I210"/>
    <mergeCell ref="A34:I34"/>
    <mergeCell ref="A38:I38"/>
    <mergeCell ref="A258:I258"/>
    <mergeCell ref="A326:I326"/>
    <mergeCell ref="A116:I116"/>
    <mergeCell ref="A388:I388"/>
    <mergeCell ref="A394:I394"/>
    <mergeCell ref="A329:I329"/>
    <mergeCell ref="A342:I342"/>
    <mergeCell ref="A362:I362"/>
    <mergeCell ref="A372:I372"/>
    <mergeCell ref="A386:I386"/>
    <mergeCell ref="A249:I249"/>
    <mergeCell ref="A250:H250"/>
    <mergeCell ref="A213:I213"/>
    <mergeCell ref="A216:I216"/>
    <mergeCell ref="A219:I219"/>
    <mergeCell ref="A222:I222"/>
    <mergeCell ref="A225:I225"/>
    <mergeCell ref="A228:I228"/>
    <mergeCell ref="A30:I30"/>
    <mergeCell ref="A231:I231"/>
    <mergeCell ref="A234:I234"/>
    <mergeCell ref="A237:I237"/>
    <mergeCell ref="A246:I246"/>
    <mergeCell ref="A253:I253"/>
    <mergeCell ref="A62:I62"/>
    <mergeCell ref="A74:I74"/>
    <mergeCell ref="A78:I78"/>
    <mergeCell ref="A82:I82"/>
    <mergeCell ref="A264:I264"/>
    <mergeCell ref="A261:I261"/>
    <mergeCell ref="A4:I4"/>
    <mergeCell ref="A17:I17"/>
    <mergeCell ref="A21:I21"/>
    <mergeCell ref="A25:I25"/>
    <mergeCell ref="A12:I12"/>
    <mergeCell ref="A118:I118"/>
    <mergeCell ref="A117:I117"/>
    <mergeCell ref="A70:I70"/>
    <mergeCell ref="A86:I86"/>
    <mergeCell ref="A42:I42"/>
    <mergeCell ref="A46:I46"/>
    <mergeCell ref="A50:I50"/>
    <mergeCell ref="A54:I54"/>
    <mergeCell ref="A58:I58"/>
    <mergeCell ref="A11:I11"/>
    <mergeCell ref="A190:I190"/>
    <mergeCell ref="A194:I194"/>
    <mergeCell ref="A90:I90"/>
    <mergeCell ref="A95:I95"/>
    <mergeCell ref="A99:I99"/>
    <mergeCell ref="A103:I103"/>
    <mergeCell ref="A127:I127"/>
    <mergeCell ref="A137:I137"/>
    <mergeCell ref="A66:I66"/>
  </mergeCells>
  <printOptions/>
  <pageMargins left="0.984251968503937" right="0.7874015748031497" top="0.7086614173228347" bottom="0.4724409448818898" header="0.5511811023622047" footer="0.15748031496062992"/>
  <pageSetup fitToHeight="12" horizontalDpi="600" verticalDpi="600" orientation="portrait" paperSize="9" scale="71" r:id="rId1"/>
  <headerFooter>
    <oddHeader>&amp;C&amp;P</oddHeader>
  </headerFooter>
  <rowBreaks count="11" manualBreakCount="11">
    <brk id="37" max="8" man="1"/>
    <brk id="73" max="8" man="1"/>
    <brk id="110" max="8" man="1"/>
    <brk id="149" max="8" man="1"/>
    <brk id="198" max="8" man="1"/>
    <brk id="240" max="8" man="1"/>
    <brk id="270" max="8" man="1"/>
    <brk id="307" max="8" man="1"/>
    <brk id="328" max="8" man="1"/>
    <brk id="351" max="8" man="1"/>
    <brk id="38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D13"/>
  <sheetViews>
    <sheetView zoomScalePageLayoutView="0" workbookViewId="0" topLeftCell="A16">
      <selection activeCell="E22" sqref="E22"/>
    </sheetView>
  </sheetViews>
  <sheetFormatPr defaultColWidth="9.00390625" defaultRowHeight="12.75"/>
  <cols>
    <col min="1" max="1" width="78.875" style="0" customWidth="1"/>
  </cols>
  <sheetData>
    <row r="4" spans="1:4" ht="18.75">
      <c r="A4" s="172"/>
      <c r="B4" s="173"/>
      <c r="C4" s="173"/>
      <c r="D4" s="173"/>
    </row>
    <row r="5" spans="1:4" s="28" customFormat="1" ht="48.75" customHeight="1">
      <c r="A5" s="25"/>
      <c r="B5" s="24"/>
      <c r="C5" s="26"/>
      <c r="D5" s="27"/>
    </row>
    <row r="6" spans="1:4" s="28" customFormat="1" ht="12" customHeight="1">
      <c r="A6" s="25"/>
      <c r="B6" s="24"/>
      <c r="C6" s="26"/>
      <c r="D6" s="27"/>
    </row>
    <row r="7" spans="1:4" s="28" customFormat="1" ht="32.25" customHeight="1">
      <c r="A7" s="29"/>
      <c r="B7" s="12"/>
      <c r="C7" s="30"/>
      <c r="D7" s="31"/>
    </row>
    <row r="8" spans="1:4" s="28" customFormat="1" ht="21" customHeight="1">
      <c r="A8" s="29"/>
      <c r="B8" s="12"/>
      <c r="C8" s="30"/>
      <c r="D8" s="31"/>
    </row>
    <row r="9" spans="1:4" s="28" customFormat="1" ht="30.75" customHeight="1">
      <c r="A9" s="29"/>
      <c r="B9" s="12"/>
      <c r="C9" s="30"/>
      <c r="D9" s="31"/>
    </row>
    <row r="10" spans="1:4" s="28" customFormat="1" ht="11.25" customHeight="1">
      <c r="A10" s="29"/>
      <c r="B10" s="12"/>
      <c r="C10" s="30"/>
      <c r="D10" s="31"/>
    </row>
    <row r="11" spans="1:4" s="28" customFormat="1" ht="31.5" customHeight="1">
      <c r="A11" s="29"/>
      <c r="B11" s="12"/>
      <c r="C11" s="30"/>
      <c r="D11" s="31"/>
    </row>
    <row r="12" spans="1:4" s="28" customFormat="1" ht="31.5" customHeight="1">
      <c r="A12" s="29"/>
      <c r="B12" s="12"/>
      <c r="C12" s="30"/>
      <c r="D12" s="31"/>
    </row>
    <row r="13" spans="1:4" s="28" customFormat="1" ht="40.5" customHeight="1">
      <c r="A13" s="29"/>
      <c r="B13" s="12"/>
      <c r="C13" s="32"/>
      <c r="D13" s="33"/>
    </row>
  </sheetData>
  <sheetProtection/>
  <mergeCells count="1">
    <mergeCell ref="A4:D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Федоровская</dc:creator>
  <cp:keywords/>
  <dc:description/>
  <cp:lastModifiedBy>Отдел экономики 4</cp:lastModifiedBy>
  <cp:lastPrinted>2016-09-01T03:49:18Z</cp:lastPrinted>
  <dcterms:created xsi:type="dcterms:W3CDTF">2003-05-23T03:32:28Z</dcterms:created>
  <dcterms:modified xsi:type="dcterms:W3CDTF">2016-11-25T02:49:03Z</dcterms:modified>
  <cp:category/>
  <cp:version/>
  <cp:contentType/>
  <cp:contentStatus/>
</cp:coreProperties>
</file>