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25" yWindow="30" windowWidth="16260" windowHeight="10155"/>
  </bookViews>
  <sheets>
    <sheet name="frmRRO4" sheetId="1" r:id="rId1"/>
    <sheet name="план 2019" sheetId="6" r:id="rId2"/>
    <sheet name="план 2020" sheetId="7" r:id="rId3"/>
    <sheet name="план 2021(2)" sheetId="9" r:id="rId4"/>
    <sheet name="план 2021(3)" sheetId="11" r:id="rId5"/>
    <sheet name="план 2022" sheetId="10" r:id="rId6"/>
    <sheet name="Лист2" sheetId="3" r:id="rId7"/>
  </sheets>
  <definedNames>
    <definedName name="_xlnm.Print_Titles" localSheetId="0">frmRRO4!$2:$5</definedName>
    <definedName name="_xlnm.Print_Titles" localSheetId="2">'план 2020'!$A:$A</definedName>
    <definedName name="_xlnm.Print_Titles" localSheetId="3">'план 2021(2)'!$A:$A</definedName>
    <definedName name="_xlnm.Print_Titles" localSheetId="4">'план 2021(3)'!$A:$A</definedName>
    <definedName name="_xlnm.Print_Titles" localSheetId="5">'план 2022'!$A:$A</definedName>
  </definedNames>
  <calcPr calcId="125725"/>
  <fileRecoveryPr autoRecover="0"/>
</workbook>
</file>

<file path=xl/calcChain.xml><?xml version="1.0" encoding="utf-8"?>
<calcChain xmlns="http://schemas.openxmlformats.org/spreadsheetml/2006/main">
  <c r="P215" i="1"/>
  <c r="Q447"/>
  <c r="R447"/>
  <c r="P504" l="1"/>
  <c r="N447"/>
  <c r="O447"/>
  <c r="P447"/>
  <c r="Q393"/>
  <c r="R393"/>
  <c r="N393"/>
  <c r="O393"/>
  <c r="O388"/>
  <c r="O350" s="1"/>
  <c r="N388"/>
  <c r="N350" s="1"/>
  <c r="P388"/>
  <c r="P350" s="1"/>
  <c r="N351"/>
  <c r="O351"/>
  <c r="Q351"/>
  <c r="R351"/>
  <c r="O380"/>
  <c r="N380"/>
  <c r="O378"/>
  <c r="N378"/>
  <c r="P378"/>
  <c r="J26" i="7"/>
  <c r="I26"/>
  <c r="I42" s="1"/>
  <c r="CF4"/>
  <c r="CF5"/>
  <c r="CF6"/>
  <c r="CF7"/>
  <c r="CF8"/>
  <c r="CF9"/>
  <c r="CF10"/>
  <c r="CF11"/>
  <c r="CF12"/>
  <c r="CF13"/>
  <c r="CF14"/>
  <c r="CF15"/>
  <c r="CF16"/>
  <c r="CF17"/>
  <c r="CF18"/>
  <c r="CF19"/>
  <c r="CF20"/>
  <c r="CF21"/>
  <c r="CF22"/>
  <c r="CF23"/>
  <c r="CF24"/>
  <c r="CF25"/>
  <c r="CF26"/>
  <c r="CF27"/>
  <c r="CF28"/>
  <c r="CF29"/>
  <c r="CF30"/>
  <c r="CF31"/>
  <c r="CF32"/>
  <c r="CF33"/>
  <c r="CF34"/>
  <c r="CF35"/>
  <c r="CF36"/>
  <c r="CF37"/>
  <c r="CF38"/>
  <c r="CF39"/>
  <c r="CF40"/>
  <c r="CF41"/>
  <c r="B42"/>
  <c r="C42"/>
  <c r="D42"/>
  <c r="E42"/>
  <c r="F42"/>
  <c r="G42"/>
  <c r="H42"/>
  <c r="J42"/>
  <c r="K42"/>
  <c r="L42"/>
  <c r="M42"/>
  <c r="N42"/>
  <c r="O42"/>
  <c r="P42"/>
  <c r="Q42"/>
  <c r="R42"/>
  <c r="S42"/>
  <c r="T42"/>
  <c r="U42"/>
  <c r="V42"/>
  <c r="W42"/>
  <c r="X42"/>
  <c r="Y42"/>
  <c r="Z42"/>
  <c r="AA42"/>
  <c r="AB42"/>
  <c r="AC42"/>
  <c r="AD42"/>
  <c r="AE42"/>
  <c r="AF42"/>
  <c r="AG42"/>
  <c r="AH42"/>
  <c r="AI42"/>
  <c r="AJ42"/>
  <c r="AK42"/>
  <c r="AL42"/>
  <c r="AM42"/>
  <c r="AN42"/>
  <c r="AO42"/>
  <c r="AP42"/>
  <c r="AF32"/>
  <c r="Z31"/>
  <c r="AD31"/>
  <c r="R31"/>
  <c r="P31"/>
  <c r="L29"/>
  <c r="K27"/>
  <c r="H25"/>
  <c r="E17"/>
  <c r="Q15"/>
  <c r="AO10"/>
  <c r="P10"/>
  <c r="AM10"/>
  <c r="AJ10"/>
  <c r="AG7"/>
  <c r="AF7"/>
  <c r="AF5"/>
  <c r="AF4"/>
  <c r="N328" i="1"/>
  <c r="O328"/>
  <c r="Q328"/>
  <c r="R328"/>
  <c r="P328"/>
  <c r="R299"/>
  <c r="Q299"/>
  <c r="P299"/>
  <c r="O299"/>
  <c r="N299"/>
  <c r="P284" l="1"/>
  <c r="P267"/>
  <c r="P259"/>
  <c r="P258"/>
  <c r="P249"/>
  <c r="P232"/>
  <c r="R200"/>
  <c r="Q200"/>
  <c r="Q211"/>
  <c r="P211"/>
  <c r="P158"/>
  <c r="O152"/>
  <c r="P152"/>
  <c r="Q152"/>
  <c r="R152"/>
  <c r="N152"/>
  <c r="Q133"/>
  <c r="R133"/>
  <c r="P116"/>
  <c r="P79"/>
  <c r="Q90"/>
  <c r="Q89"/>
  <c r="Q102"/>
  <c r="P50"/>
  <c r="Q62"/>
  <c r="Q61"/>
  <c r="Q67"/>
  <c r="Q66"/>
  <c r="P36"/>
  <c r="P34" s="1"/>
  <c r="Q34"/>
  <c r="R34"/>
  <c r="P18" l="1"/>
  <c r="P10"/>
  <c r="P134"/>
  <c r="P133" s="1"/>
  <c r="P405"/>
  <c r="P62"/>
  <c r="P61"/>
  <c r="P90"/>
  <c r="P89"/>
  <c r="P87"/>
  <c r="P88"/>
  <c r="P60"/>
  <c r="P59"/>
  <c r="R378" l="1"/>
  <c r="CJ42" i="11"/>
  <c r="CH4"/>
  <c r="CH5"/>
  <c r="CH6"/>
  <c r="CH7"/>
  <c r="CH8"/>
  <c r="CH9"/>
  <c r="CH10"/>
  <c r="CH11"/>
  <c r="CH12"/>
  <c r="CH13"/>
  <c r="CH14"/>
  <c r="CH15"/>
  <c r="CH16"/>
  <c r="CH17"/>
  <c r="CH18"/>
  <c r="CH19"/>
  <c r="CH20"/>
  <c r="CH21"/>
  <c r="CH22"/>
  <c r="CH23"/>
  <c r="CH24"/>
  <c r="CH25"/>
  <c r="CH26"/>
  <c r="CH27"/>
  <c r="CH28"/>
  <c r="CH29"/>
  <c r="CH30"/>
  <c r="CH31"/>
  <c r="CH32"/>
  <c r="CH33"/>
  <c r="CH34"/>
  <c r="CH35"/>
  <c r="CH36"/>
  <c r="CH37"/>
  <c r="CH38"/>
  <c r="CH39"/>
  <c r="CH40"/>
  <c r="CH41"/>
  <c r="CH3"/>
  <c r="CI4"/>
  <c r="CI5"/>
  <c r="CI6"/>
  <c r="CI7"/>
  <c r="CI8"/>
  <c r="CI9"/>
  <c r="CI10"/>
  <c r="CI11"/>
  <c r="CI12"/>
  <c r="CI13"/>
  <c r="CI14"/>
  <c r="CI15"/>
  <c r="CI16"/>
  <c r="CI17"/>
  <c r="CI18"/>
  <c r="CI19"/>
  <c r="CI20"/>
  <c r="CI21"/>
  <c r="CI22"/>
  <c r="CI23"/>
  <c r="CI24"/>
  <c r="CI25"/>
  <c r="CI26"/>
  <c r="CI27"/>
  <c r="CI28"/>
  <c r="CI29"/>
  <c r="CI30"/>
  <c r="CI31"/>
  <c r="CI32"/>
  <c r="CI33"/>
  <c r="CI34"/>
  <c r="CI35"/>
  <c r="CI36"/>
  <c r="CI37"/>
  <c r="CI38"/>
  <c r="CI39"/>
  <c r="CI40"/>
  <c r="CI41"/>
  <c r="CI3"/>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B35"/>
  <c r="BG34"/>
  <c r="BI25"/>
  <c r="BJ25"/>
  <c r="BD15"/>
  <c r="BC15"/>
  <c r="BB15"/>
  <c r="J26"/>
  <c r="L26"/>
  <c r="BY42"/>
  <c r="CE42"/>
  <c r="BQ22"/>
  <c r="AC37"/>
  <c r="CG42"/>
  <c r="CF42"/>
  <c r="CD42"/>
  <c r="CC42"/>
  <c r="CB42"/>
  <c r="CA42"/>
  <c r="BZ42"/>
  <c r="AR43"/>
  <c r="AS33"/>
  <c r="AI32"/>
  <c r="M27"/>
  <c r="K26"/>
  <c r="I26"/>
  <c r="E17"/>
  <c r="G13"/>
  <c r="AW10"/>
  <c r="AV10"/>
  <c r="AM10"/>
  <c r="AJ7"/>
  <c r="AI7"/>
  <c r="AI5"/>
  <c r="AI4"/>
  <c r="AI3"/>
  <c r="CI42" l="1"/>
  <c r="BO43"/>
  <c r="AH43"/>
  <c r="AZ43"/>
  <c r="BJ43"/>
  <c r="CG43"/>
  <c r="AQ43"/>
  <c r="AW43"/>
  <c r="AE43"/>
  <c r="CH42" l="1"/>
  <c r="BZ3" i="9" l="1"/>
  <c r="BZ4"/>
  <c r="BZ5"/>
  <c r="BZ6"/>
  <c r="BZ7"/>
  <c r="BZ8"/>
  <c r="BZ9"/>
  <c r="BZ10"/>
  <c r="BZ11"/>
  <c r="BZ12"/>
  <c r="BZ13"/>
  <c r="BZ14"/>
  <c r="BZ15"/>
  <c r="BZ16"/>
  <c r="BZ17"/>
  <c r="BZ18"/>
  <c r="BZ19"/>
  <c r="BZ20"/>
  <c r="BZ21"/>
  <c r="BZ22"/>
  <c r="BZ23"/>
  <c r="BZ24"/>
  <c r="BZ25"/>
  <c r="BZ26"/>
  <c r="BZ27"/>
  <c r="BZ28"/>
  <c r="BZ29"/>
  <c r="BZ30"/>
  <c r="BZ31"/>
  <c r="BZ32"/>
  <c r="BZ33"/>
  <c r="BZ34"/>
  <c r="BZ35"/>
  <c r="BZ36"/>
  <c r="BZ37"/>
  <c r="BZ38"/>
  <c r="BZ39"/>
  <c r="BZ40"/>
  <c r="AU35"/>
  <c r="AZ34"/>
  <c r="BC26"/>
  <c r="BB25"/>
  <c r="AW15"/>
  <c r="AV15"/>
  <c r="AU15"/>
  <c r="Q403" i="1"/>
  <c r="J26" i="9"/>
  <c r="I26"/>
  <c r="BW42"/>
  <c r="AI42"/>
  <c r="AM33"/>
  <c r="BI22"/>
  <c r="W37"/>
  <c r="W38"/>
  <c r="Q31"/>
  <c r="K27"/>
  <c r="L29"/>
  <c r="Q504" i="1" l="1"/>
  <c r="R504"/>
  <c r="Q498"/>
  <c r="R498"/>
  <c r="Q480"/>
  <c r="R480"/>
  <c r="Q469"/>
  <c r="R469"/>
  <c r="Q458"/>
  <c r="R458"/>
  <c r="Q455"/>
  <c r="R455"/>
  <c r="Q415"/>
  <c r="R415"/>
  <c r="R403"/>
  <c r="Q399"/>
  <c r="R399"/>
  <c r="Q343"/>
  <c r="R343"/>
  <c r="Q344"/>
  <c r="R344"/>
  <c r="Q346"/>
  <c r="R346"/>
  <c r="Q347"/>
  <c r="R347"/>
  <c r="Q348"/>
  <c r="R348"/>
  <c r="Q349"/>
  <c r="R349"/>
  <c r="Q335"/>
  <c r="R335"/>
  <c r="Q336"/>
  <c r="R336"/>
  <c r="Q337"/>
  <c r="R337"/>
  <c r="Q312"/>
  <c r="Q311" s="1"/>
  <c r="R312"/>
  <c r="R311" s="1"/>
  <c r="Q286"/>
  <c r="R286"/>
  <c r="Q247"/>
  <c r="R247"/>
  <c r="Q228"/>
  <c r="R228"/>
  <c r="Q210"/>
  <c r="R210"/>
  <c r="Q212"/>
  <c r="R212"/>
  <c r="Q201"/>
  <c r="R201"/>
  <c r="Q189"/>
  <c r="R189"/>
  <c r="Q183"/>
  <c r="R183"/>
  <c r="Q181"/>
  <c r="R181"/>
  <c r="Q178"/>
  <c r="R178"/>
  <c r="Q157"/>
  <c r="R157"/>
  <c r="Q145"/>
  <c r="R145"/>
  <c r="Q126"/>
  <c r="R126"/>
  <c r="Q109"/>
  <c r="R109"/>
  <c r="Q49"/>
  <c r="R49"/>
  <c r="Q35"/>
  <c r="R35"/>
  <c r="AW42" i="7"/>
  <c r="P349" i="1"/>
  <c r="CC42" i="7"/>
  <c r="CD42"/>
  <c r="BX42"/>
  <c r="N336" i="1"/>
  <c r="O336"/>
  <c r="P336"/>
  <c r="O212"/>
  <c r="N498"/>
  <c r="O498"/>
  <c r="P498"/>
  <c r="N415"/>
  <c r="O415"/>
  <c r="P415"/>
  <c r="P469"/>
  <c r="N504"/>
  <c r="Q489"/>
  <c r="Q486" s="1"/>
  <c r="R489"/>
  <c r="R486" s="1"/>
  <c r="N489"/>
  <c r="O489"/>
  <c r="P489"/>
  <c r="P393"/>
  <c r="R388"/>
  <c r="R350" s="1"/>
  <c r="Q388"/>
  <c r="Q350" s="1"/>
  <c r="Q378"/>
  <c r="R375"/>
  <c r="R345" s="1"/>
  <c r="Q375"/>
  <c r="P375"/>
  <c r="P361"/>
  <c r="P320"/>
  <c r="P276"/>
  <c r="P261"/>
  <c r="P257"/>
  <c r="P248"/>
  <c r="P147"/>
  <c r="P145" s="1"/>
  <c r="V36" i="10"/>
  <c r="Q30"/>
  <c r="K27"/>
  <c r="I26"/>
  <c r="BW41"/>
  <c r="BV41"/>
  <c r="BU41"/>
  <c r="BT41"/>
  <c r="BS41"/>
  <c r="BR41"/>
  <c r="BQ41"/>
  <c r="BP41"/>
  <c r="BO41"/>
  <c r="BN41"/>
  <c r="BM41"/>
  <c r="BL41"/>
  <c r="BK41"/>
  <c r="BJ41"/>
  <c r="BI41"/>
  <c r="BH41"/>
  <c r="BG41"/>
  <c r="BW42" s="1"/>
  <c r="BF41"/>
  <c r="BE41"/>
  <c r="BD41"/>
  <c r="BC41"/>
  <c r="BF42" s="1"/>
  <c r="BB41"/>
  <c r="BA41"/>
  <c r="AZ41"/>
  <c r="AY41"/>
  <c r="AX41"/>
  <c r="AW41"/>
  <c r="AV41"/>
  <c r="AU41"/>
  <c r="AT41"/>
  <c r="BB42" s="1"/>
  <c r="AS41"/>
  <c r="AR41"/>
  <c r="AQ41"/>
  <c r="AP41"/>
  <c r="AR42" s="1"/>
  <c r="AM41"/>
  <c r="AL41"/>
  <c r="AK41"/>
  <c r="AK42" s="1"/>
  <c r="AJ41"/>
  <c r="AI41"/>
  <c r="AH41"/>
  <c r="AF41"/>
  <c r="AE41"/>
  <c r="AD41"/>
  <c r="AB41"/>
  <c r="AA41"/>
  <c r="Z41"/>
  <c r="AB42" s="1"/>
  <c r="Y41"/>
  <c r="X41"/>
  <c r="W41"/>
  <c r="V41"/>
  <c r="U41"/>
  <c r="T41"/>
  <c r="S41"/>
  <c r="R41"/>
  <c r="Q41"/>
  <c r="P41"/>
  <c r="O41"/>
  <c r="N41"/>
  <c r="M41"/>
  <c r="L41"/>
  <c r="K41"/>
  <c r="H41"/>
  <c r="F41"/>
  <c r="E41"/>
  <c r="D41"/>
  <c r="C41"/>
  <c r="B41"/>
  <c r="BX40"/>
  <c r="BX39"/>
  <c r="BX38"/>
  <c r="BX37"/>
  <c r="BX36"/>
  <c r="BX35"/>
  <c r="BX34"/>
  <c r="BX33"/>
  <c r="BX32"/>
  <c r="AL32"/>
  <c r="BX31"/>
  <c r="AC31"/>
  <c r="BX30"/>
  <c r="BX29"/>
  <c r="BX28"/>
  <c r="BX27"/>
  <c r="J26"/>
  <c r="J41" s="1"/>
  <c r="BX26"/>
  <c r="BX25"/>
  <c r="BX24"/>
  <c r="BX23"/>
  <c r="BX22"/>
  <c r="BX21"/>
  <c r="BX20"/>
  <c r="BX19"/>
  <c r="BX18"/>
  <c r="BX17"/>
  <c r="E17"/>
  <c r="BX16"/>
  <c r="BX15"/>
  <c r="BX14"/>
  <c r="G13"/>
  <c r="BX13" s="1"/>
  <c r="BX12"/>
  <c r="BX11"/>
  <c r="AO10"/>
  <c r="AO41" s="1"/>
  <c r="AN10"/>
  <c r="AN41" s="1"/>
  <c r="AG10"/>
  <c r="BX10" s="1"/>
  <c r="BX9"/>
  <c r="BX8"/>
  <c r="BX7"/>
  <c r="AD7"/>
  <c r="AC7"/>
  <c r="BX6"/>
  <c r="BX5"/>
  <c r="AC5"/>
  <c r="AC4"/>
  <c r="BX4" s="1"/>
  <c r="BX3"/>
  <c r="AC3"/>
  <c r="AC41" s="1"/>
  <c r="E17" i="9"/>
  <c r="G13"/>
  <c r="AO10"/>
  <c r="AO42" s="1"/>
  <c r="BY42"/>
  <c r="BX42"/>
  <c r="BV42"/>
  <c r="BU42"/>
  <c r="BT42"/>
  <c r="BS42"/>
  <c r="BR42"/>
  <c r="BQ42"/>
  <c r="BP42"/>
  <c r="BO42"/>
  <c r="BN42"/>
  <c r="BM42"/>
  <c r="BL42"/>
  <c r="BK42"/>
  <c r="BJ42"/>
  <c r="BI42"/>
  <c r="BH42"/>
  <c r="BG42"/>
  <c r="BF42"/>
  <c r="BE42"/>
  <c r="BD42"/>
  <c r="BC42"/>
  <c r="BB42"/>
  <c r="BA42"/>
  <c r="AZ42"/>
  <c r="AY42"/>
  <c r="AX42"/>
  <c r="AW42"/>
  <c r="AV42"/>
  <c r="AU42"/>
  <c r="AT42"/>
  <c r="AS42"/>
  <c r="AR42"/>
  <c r="AQ42"/>
  <c r="AN42"/>
  <c r="AM42"/>
  <c r="AL42"/>
  <c r="AL43" s="1"/>
  <c r="AK42"/>
  <c r="AH42"/>
  <c r="AF42"/>
  <c r="AE42"/>
  <c r="AB42"/>
  <c r="Z42"/>
  <c r="Y42"/>
  <c r="X42"/>
  <c r="W42"/>
  <c r="V42"/>
  <c r="U42"/>
  <c r="T42"/>
  <c r="S42"/>
  <c r="R42"/>
  <c r="Q42"/>
  <c r="O42"/>
  <c r="N42"/>
  <c r="M42"/>
  <c r="L42"/>
  <c r="J42"/>
  <c r="I42"/>
  <c r="F42"/>
  <c r="D42"/>
  <c r="C42"/>
  <c r="B42"/>
  <c r="BZ41"/>
  <c r="AC32"/>
  <c r="AA42"/>
  <c r="K42"/>
  <c r="E42"/>
  <c r="AP10"/>
  <c r="AP42" s="1"/>
  <c r="AJ42"/>
  <c r="AG10"/>
  <c r="AG42" s="1"/>
  <c r="P42"/>
  <c r="AD7"/>
  <c r="AD42" s="1"/>
  <c r="AC7"/>
  <c r="AC5"/>
  <c r="AC4"/>
  <c r="AC3"/>
  <c r="AC42" s="1"/>
  <c r="Q208" i="1" l="1"/>
  <c r="Q345"/>
  <c r="P345"/>
  <c r="Q333"/>
  <c r="R333"/>
  <c r="Q341"/>
  <c r="R198"/>
  <c r="Q198"/>
  <c r="R341"/>
  <c r="AS43" i="9"/>
  <c r="BG43"/>
  <c r="BC43"/>
  <c r="BY43"/>
  <c r="BX41" i="10"/>
  <c r="BY41"/>
  <c r="AO42"/>
  <c r="G41"/>
  <c r="AG41"/>
  <c r="AJ42" s="1"/>
  <c r="I41"/>
  <c r="Y42" s="1"/>
  <c r="AB43" i="9"/>
  <c r="G42"/>
  <c r="AK43"/>
  <c r="AP43"/>
  <c r="BZ42"/>
  <c r="H42"/>
  <c r="O10" i="1"/>
  <c r="EU44" i="6"/>
  <c r="ET44"/>
  <c r="EU43"/>
  <c r="ET43"/>
  <c r="DP42"/>
  <c r="DQ42"/>
  <c r="DR42"/>
  <c r="DS42"/>
  <c r="DT42"/>
  <c r="DU42"/>
  <c r="DV42"/>
  <c r="DW42"/>
  <c r="DX42"/>
  <c r="DY42"/>
  <c r="DZ42"/>
  <c r="EA42"/>
  <c r="EB42"/>
  <c r="EC42"/>
  <c r="ED42"/>
  <c r="EE42"/>
  <c r="EF42"/>
  <c r="EG42"/>
  <c r="EH42"/>
  <c r="EI42"/>
  <c r="EJ42"/>
  <c r="EK42"/>
  <c r="EL42"/>
  <c r="EM42"/>
  <c r="EN42"/>
  <c r="EO42"/>
  <c r="EP42"/>
  <c r="EQ42"/>
  <c r="ER42"/>
  <c r="ES42"/>
  <c r="ET42"/>
  <c r="EU42"/>
  <c r="EU34"/>
  <c r="ET34"/>
  <c r="DE34"/>
  <c r="DD34"/>
  <c r="EV34" s="1"/>
  <c r="DW31"/>
  <c r="DV31"/>
  <c r="EY23"/>
  <c r="EX23"/>
  <c r="EK23"/>
  <c r="EJ23"/>
  <c r="EE23"/>
  <c r="ED23"/>
  <c r="EG23"/>
  <c r="EF23"/>
  <c r="EH20"/>
  <c r="EY15"/>
  <c r="EX15"/>
  <c r="DU15"/>
  <c r="DT15"/>
  <c r="O458" i="1"/>
  <c r="P458"/>
  <c r="N458"/>
  <c r="O469"/>
  <c r="N469"/>
  <c r="O504"/>
  <c r="O529"/>
  <c r="P529"/>
  <c r="Q529"/>
  <c r="R529"/>
  <c r="N529"/>
  <c r="O542"/>
  <c r="P542"/>
  <c r="Q542"/>
  <c r="R542"/>
  <c r="N542"/>
  <c r="O409"/>
  <c r="P409"/>
  <c r="Q409"/>
  <c r="R409"/>
  <c r="N409"/>
  <c r="N399"/>
  <c r="O399"/>
  <c r="O346"/>
  <c r="N346"/>
  <c r="BS43" i="6"/>
  <c r="BR43"/>
  <c r="AU43"/>
  <c r="AT43"/>
  <c r="O17" i="1"/>
  <c r="Q17"/>
  <c r="R17"/>
  <c r="O12"/>
  <c r="P12"/>
  <c r="Q12"/>
  <c r="R12"/>
  <c r="P9"/>
  <c r="Q9"/>
  <c r="R9"/>
  <c r="AQ38" i="6"/>
  <c r="AP38"/>
  <c r="BE32"/>
  <c r="BD32"/>
  <c r="BC32"/>
  <c r="BB32"/>
  <c r="AD31"/>
  <c r="AU31"/>
  <c r="AT31"/>
  <c r="AE31"/>
  <c r="AY31"/>
  <c r="AX31"/>
  <c r="AF42"/>
  <c r="AG42"/>
  <c r="EV3"/>
  <c r="EW3"/>
  <c r="EV4"/>
  <c r="EW4"/>
  <c r="EV5"/>
  <c r="EW5"/>
  <c r="EV6"/>
  <c r="EW6"/>
  <c r="EV7"/>
  <c r="EW7"/>
  <c r="EV8"/>
  <c r="EW8"/>
  <c r="EV9"/>
  <c r="EW9"/>
  <c r="EV10"/>
  <c r="EW10"/>
  <c r="EV11"/>
  <c r="EW11"/>
  <c r="EV12"/>
  <c r="EW12"/>
  <c r="EV13"/>
  <c r="EW13"/>
  <c r="EV14"/>
  <c r="EW14"/>
  <c r="EV15"/>
  <c r="EW15"/>
  <c r="EV16"/>
  <c r="EW16"/>
  <c r="EV17"/>
  <c r="EW17"/>
  <c r="EV18"/>
  <c r="EW18"/>
  <c r="EV19"/>
  <c r="EW19"/>
  <c r="EV20"/>
  <c r="EW20"/>
  <c r="EV21"/>
  <c r="EW21"/>
  <c r="EV22"/>
  <c r="EW22"/>
  <c r="EV23"/>
  <c r="EW23"/>
  <c r="EV24"/>
  <c r="EW24"/>
  <c r="EV25"/>
  <c r="EW25"/>
  <c r="EV26"/>
  <c r="EW26"/>
  <c r="EV27"/>
  <c r="EW27"/>
  <c r="EV28"/>
  <c r="EW28"/>
  <c r="EV29"/>
  <c r="EW29"/>
  <c r="EV30"/>
  <c r="EW30"/>
  <c r="EV32"/>
  <c r="EW32"/>
  <c r="EV33"/>
  <c r="EW33"/>
  <c r="EW34"/>
  <c r="EV35"/>
  <c r="EW35"/>
  <c r="EV36"/>
  <c r="EW36"/>
  <c r="EV37"/>
  <c r="EW37"/>
  <c r="EV38"/>
  <c r="EW38"/>
  <c r="EV39"/>
  <c r="EW39"/>
  <c r="EV40"/>
  <c r="EW40"/>
  <c r="EV41"/>
  <c r="EW41"/>
  <c r="EW31"/>
  <c r="EV31"/>
  <c r="AG31"/>
  <c r="AF31"/>
  <c r="BC30"/>
  <c r="Y30"/>
  <c r="X30"/>
  <c r="BE30"/>
  <c r="BD30"/>
  <c r="BB30"/>
  <c r="V29"/>
  <c r="W29"/>
  <c r="BO42"/>
  <c r="BN42"/>
  <c r="U27"/>
  <c r="T27"/>
  <c r="S26"/>
  <c r="R26"/>
  <c r="Q26"/>
  <c r="P26"/>
  <c r="O25"/>
  <c r="N25"/>
  <c r="BU20"/>
  <c r="BT20"/>
  <c r="AM20"/>
  <c r="AL20"/>
  <c r="C10"/>
  <c r="B10"/>
  <c r="CA10"/>
  <c r="BZ10"/>
  <c r="BQ10"/>
  <c r="BP10"/>
  <c r="AC10"/>
  <c r="AB10"/>
  <c r="BK10"/>
  <c r="BJ10"/>
  <c r="BX10"/>
  <c r="CC10"/>
  <c r="CB10"/>
  <c r="BE7"/>
  <c r="BD7"/>
  <c r="BC7"/>
  <c r="BB7"/>
  <c r="BE5"/>
  <c r="BD5"/>
  <c r="BC5"/>
  <c r="BB5"/>
  <c r="BC4"/>
  <c r="BB4"/>
  <c r="O405" i="1"/>
  <c r="N405"/>
  <c r="P401"/>
  <c r="O375"/>
  <c r="N375"/>
  <c r="O361"/>
  <c r="N361"/>
  <c r="R79"/>
  <c r="R78" s="1"/>
  <c r="Q79"/>
  <c r="Q78" s="1"/>
  <c r="O325"/>
  <c r="N325"/>
  <c r="O320"/>
  <c r="N320"/>
  <c r="O307"/>
  <c r="N307"/>
  <c r="R232"/>
  <c r="R230" s="1"/>
  <c r="Q232"/>
  <c r="Q230" s="1"/>
  <c r="P290"/>
  <c r="O290"/>
  <c r="N290"/>
  <c r="N289"/>
  <c r="R276"/>
  <c r="R274" s="1"/>
  <c r="Q276"/>
  <c r="Q274" s="1"/>
  <c r="O276"/>
  <c r="N276"/>
  <c r="O269"/>
  <c r="N269"/>
  <c r="O268"/>
  <c r="N268"/>
  <c r="R267"/>
  <c r="R263" s="1"/>
  <c r="Q267"/>
  <c r="Q263" s="1"/>
  <c r="O267"/>
  <c r="N267"/>
  <c r="O266"/>
  <c r="N266"/>
  <c r="N264"/>
  <c r="R261"/>
  <c r="Q261"/>
  <c r="O261"/>
  <c r="N261"/>
  <c r="R260"/>
  <c r="Q260"/>
  <c r="O260"/>
  <c r="N260"/>
  <c r="R259"/>
  <c r="Q259"/>
  <c r="O259"/>
  <c r="N259"/>
  <c r="R258"/>
  <c r="R254" s="1"/>
  <c r="Q258"/>
  <c r="Q254" s="1"/>
  <c r="O258"/>
  <c r="N258"/>
  <c r="O257"/>
  <c r="N257"/>
  <c r="O249"/>
  <c r="N249"/>
  <c r="O232"/>
  <c r="N232"/>
  <c r="N212"/>
  <c r="R215"/>
  <c r="O215"/>
  <c r="O211" s="1"/>
  <c r="N215"/>
  <c r="N211" s="1"/>
  <c r="O190"/>
  <c r="N190"/>
  <c r="O158"/>
  <c r="N158"/>
  <c r="O147"/>
  <c r="N147"/>
  <c r="R253" l="1"/>
  <c r="N345"/>
  <c r="Q253"/>
  <c r="O345"/>
  <c r="R211"/>
  <c r="R208" s="1"/>
  <c r="O254"/>
  <c r="P254"/>
  <c r="N254"/>
  <c r="BY42" i="10"/>
  <c r="CA42" i="9"/>
  <c r="Y43"/>
  <c r="CA43" s="1"/>
  <c r="O134" i="1"/>
  <c r="N134"/>
  <c r="O129"/>
  <c r="N129"/>
  <c r="P109"/>
  <c r="O110"/>
  <c r="O109" s="1"/>
  <c r="N110"/>
  <c r="O97"/>
  <c r="N97"/>
  <c r="P78"/>
  <c r="O79"/>
  <c r="N79"/>
  <c r="O78" l="1"/>
  <c r="O70" l="1"/>
  <c r="N70"/>
  <c r="O50"/>
  <c r="N50"/>
  <c r="O35"/>
  <c r="P35"/>
  <c r="N35"/>
  <c r="O36"/>
  <c r="O34" s="1"/>
  <c r="N36"/>
  <c r="N34" s="1"/>
  <c r="R29"/>
  <c r="Q29"/>
  <c r="P28"/>
  <c r="P17"/>
  <c r="N12"/>
  <c r="O9"/>
  <c r="N10"/>
  <c r="O32" l="1"/>
  <c r="P32"/>
  <c r="Q32"/>
  <c r="R32"/>
  <c r="N49"/>
  <c r="O49"/>
  <c r="P230"/>
  <c r="P200"/>
  <c r="P403"/>
  <c r="P157"/>
  <c r="P306"/>
  <c r="P305" s="1"/>
  <c r="P486"/>
  <c r="O480"/>
  <c r="P480"/>
  <c r="N480"/>
  <c r="P183"/>
  <c r="O178"/>
  <c r="P178"/>
  <c r="N178"/>
  <c r="P274"/>
  <c r="CA42" i="7"/>
  <c r="P346" i="1"/>
  <c r="AP43" i="7"/>
  <c r="AQ42"/>
  <c r="AR42"/>
  <c r="AS42"/>
  <c r="AT42"/>
  <c r="AU42"/>
  <c r="AV42"/>
  <c r="AX42"/>
  <c r="AY42"/>
  <c r="AZ42"/>
  <c r="BA42"/>
  <c r="BB42"/>
  <c r="BC42"/>
  <c r="BD42"/>
  <c r="BE42"/>
  <c r="BF42"/>
  <c r="BG42"/>
  <c r="BH42"/>
  <c r="BI42"/>
  <c r="BJ42"/>
  <c r="BK42"/>
  <c r="BL42"/>
  <c r="BM42"/>
  <c r="BN42"/>
  <c r="BO42"/>
  <c r="BP42"/>
  <c r="BQ42"/>
  <c r="BR42"/>
  <c r="BS42"/>
  <c r="BT42"/>
  <c r="BU42"/>
  <c r="BV42"/>
  <c r="BW42"/>
  <c r="BY42"/>
  <c r="BZ42"/>
  <c r="CB42"/>
  <c r="CE42"/>
  <c r="P337" i="1"/>
  <c r="P286"/>
  <c r="Q25"/>
  <c r="R25"/>
  <c r="Q26"/>
  <c r="R26"/>
  <c r="Q27"/>
  <c r="R27"/>
  <c r="Q484"/>
  <c r="R484"/>
  <c r="R408" s="1"/>
  <c r="R407" s="1"/>
  <c r="Q306"/>
  <c r="Q305" s="1"/>
  <c r="R306"/>
  <c r="R305" s="1"/>
  <c r="O133"/>
  <c r="N133"/>
  <c r="CF3" i="7"/>
  <c r="R366" i="1"/>
  <c r="Q366"/>
  <c r="P366"/>
  <c r="R352"/>
  <c r="Q352"/>
  <c r="N78"/>
  <c r="O201"/>
  <c r="P201"/>
  <c r="N201"/>
  <c r="N109"/>
  <c r="P189"/>
  <c r="P181"/>
  <c r="P175"/>
  <c r="Q175"/>
  <c r="R175"/>
  <c r="P126"/>
  <c r="P25"/>
  <c r="P26"/>
  <c r="P27"/>
  <c r="P19"/>
  <c r="Q19"/>
  <c r="R19"/>
  <c r="O486"/>
  <c r="N486"/>
  <c r="O210"/>
  <c r="P210"/>
  <c r="P212"/>
  <c r="N157"/>
  <c r="C42" i="6"/>
  <c r="D42"/>
  <c r="E42"/>
  <c r="F42"/>
  <c r="G42"/>
  <c r="H42"/>
  <c r="I42"/>
  <c r="J42"/>
  <c r="K42"/>
  <c r="L42"/>
  <c r="M42"/>
  <c r="N42"/>
  <c r="O42"/>
  <c r="P42"/>
  <c r="Q42"/>
  <c r="R42"/>
  <c r="S42"/>
  <c r="T42"/>
  <c r="U42"/>
  <c r="V42"/>
  <c r="W42"/>
  <c r="X42"/>
  <c r="Y42"/>
  <c r="Z42"/>
  <c r="AA42"/>
  <c r="AB42"/>
  <c r="AC42"/>
  <c r="AD42"/>
  <c r="AE42"/>
  <c r="AH42"/>
  <c r="AI42"/>
  <c r="AJ42"/>
  <c r="AK42"/>
  <c r="AL42"/>
  <c r="AM42"/>
  <c r="AN42"/>
  <c r="AO42"/>
  <c r="AP42"/>
  <c r="AQ42"/>
  <c r="AR42"/>
  <c r="AS42"/>
  <c r="AT42"/>
  <c r="AU42"/>
  <c r="AV42"/>
  <c r="AW42"/>
  <c r="AX42"/>
  <c r="AY42"/>
  <c r="AZ42"/>
  <c r="BA42"/>
  <c r="BB42"/>
  <c r="BC42"/>
  <c r="BD42"/>
  <c r="BE42"/>
  <c r="BF42"/>
  <c r="BG42"/>
  <c r="BH42"/>
  <c r="BI42"/>
  <c r="BJ42"/>
  <c r="BK42"/>
  <c r="BL42"/>
  <c r="BM42"/>
  <c r="BP42"/>
  <c r="BQ42"/>
  <c r="BR42"/>
  <c r="BS42"/>
  <c r="BT42"/>
  <c r="BT43" s="1"/>
  <c r="BU42"/>
  <c r="BU43" s="1"/>
  <c r="BV42"/>
  <c r="BW42"/>
  <c r="BX42"/>
  <c r="BY42"/>
  <c r="BZ42"/>
  <c r="CA42"/>
  <c r="CB42"/>
  <c r="CC42"/>
  <c r="CD42"/>
  <c r="CE42"/>
  <c r="CF42"/>
  <c r="CG42"/>
  <c r="CH42"/>
  <c r="CI42"/>
  <c r="CJ42"/>
  <c r="CK42"/>
  <c r="CL42"/>
  <c r="CM42"/>
  <c r="CN42"/>
  <c r="CO42"/>
  <c r="CP42"/>
  <c r="CQ42"/>
  <c r="CT42"/>
  <c r="CU42"/>
  <c r="CV42"/>
  <c r="CW42"/>
  <c r="CZ42"/>
  <c r="DA42"/>
  <c r="DB42"/>
  <c r="DC42"/>
  <c r="DD42"/>
  <c r="DH42"/>
  <c r="DI42"/>
  <c r="DJ42"/>
  <c r="DK42"/>
  <c r="DL42"/>
  <c r="DM42"/>
  <c r="DN42"/>
  <c r="DO42"/>
  <c r="B42"/>
  <c r="DE42"/>
  <c r="DF42"/>
  <c r="CX42"/>
  <c r="O403" i="1"/>
  <c r="N403"/>
  <c r="N347"/>
  <c r="O247"/>
  <c r="N247"/>
  <c r="O230"/>
  <c r="N230"/>
  <c r="O157"/>
  <c r="O175"/>
  <c r="N175"/>
  <c r="O306"/>
  <c r="O305" s="1"/>
  <c r="N306"/>
  <c r="N305" s="1"/>
  <c r="O189"/>
  <c r="N189"/>
  <c r="O181"/>
  <c r="N181"/>
  <c r="O126"/>
  <c r="N126"/>
  <c r="O183"/>
  <c r="N183"/>
  <c r="O200"/>
  <c r="N200"/>
  <c r="N210"/>
  <c r="P263"/>
  <c r="P253" s="1"/>
  <c r="P351"/>
  <c r="O348"/>
  <c r="P348"/>
  <c r="N348"/>
  <c r="O347"/>
  <c r="O344"/>
  <c r="P344"/>
  <c r="N344"/>
  <c r="O343"/>
  <c r="P343"/>
  <c r="N343"/>
  <c r="O335"/>
  <c r="P335"/>
  <c r="O337"/>
  <c r="N337"/>
  <c r="O352"/>
  <c r="P352"/>
  <c r="N352"/>
  <c r="O366"/>
  <c r="N366"/>
  <c r="P399"/>
  <c r="O455"/>
  <c r="P455"/>
  <c r="N455"/>
  <c r="O461"/>
  <c r="P461"/>
  <c r="Q461"/>
  <c r="R461"/>
  <c r="N461"/>
  <c r="O464"/>
  <c r="P464"/>
  <c r="Q464"/>
  <c r="R464"/>
  <c r="N464"/>
  <c r="O484"/>
  <c r="P484"/>
  <c r="N484"/>
  <c r="N9"/>
  <c r="O145"/>
  <c r="O274"/>
  <c r="N274"/>
  <c r="N145"/>
  <c r="O286"/>
  <c r="N286"/>
  <c r="O263"/>
  <c r="O253" s="1"/>
  <c r="N263"/>
  <c r="O19"/>
  <c r="N19"/>
  <c r="N17"/>
  <c r="P347"/>
  <c r="N25"/>
  <c r="O25"/>
  <c r="N26"/>
  <c r="O26"/>
  <c r="N27"/>
  <c r="O27"/>
  <c r="N228"/>
  <c r="O228"/>
  <c r="P228"/>
  <c r="N335"/>
  <c r="O467"/>
  <c r="Q467"/>
  <c r="R467"/>
  <c r="N467"/>
  <c r="DG42" i="6"/>
  <c r="CY42"/>
  <c r="CR42"/>
  <c r="CS42"/>
  <c r="P49" i="1"/>
  <c r="BL43" i="7"/>
  <c r="P312" i="1"/>
  <c r="P311" s="1"/>
  <c r="N253" l="1"/>
  <c r="P408"/>
  <c r="P407" s="1"/>
  <c r="P398" s="1"/>
  <c r="AN43" i="7"/>
  <c r="AT43"/>
  <c r="P208" i="1"/>
  <c r="Q408"/>
  <c r="Q407" s="1"/>
  <c r="Q398" s="1"/>
  <c r="Q304"/>
  <c r="R304"/>
  <c r="AX43" i="7"/>
  <c r="BH43"/>
  <c r="R398" i="1"/>
  <c r="P23"/>
  <c r="R23"/>
  <c r="R8" s="1"/>
  <c r="P304"/>
  <c r="O23"/>
  <c r="O408"/>
  <c r="O407" s="1"/>
  <c r="O398" s="1"/>
  <c r="N408"/>
  <c r="N407" s="1"/>
  <c r="N398" s="1"/>
  <c r="Q23"/>
  <c r="Q8" s="1"/>
  <c r="CH43" i="6"/>
  <c r="CB43"/>
  <c r="AZ43"/>
  <c r="CI43"/>
  <c r="CC43"/>
  <c r="BA43"/>
  <c r="DD43"/>
  <c r="CX43"/>
  <c r="CY43"/>
  <c r="O198" i="1"/>
  <c r="P333"/>
  <c r="N333"/>
  <c r="O312"/>
  <c r="O311" s="1"/>
  <c r="O304" s="1"/>
  <c r="P198"/>
  <c r="N312"/>
  <c r="N311" s="1"/>
  <c r="N304" s="1"/>
  <c r="P341"/>
  <c r="P247"/>
  <c r="N198"/>
  <c r="N23"/>
  <c r="O333"/>
  <c r="O208"/>
  <c r="N32"/>
  <c r="CF42" i="7"/>
  <c r="AE43"/>
  <c r="CE43"/>
  <c r="DE43" i="6"/>
  <c r="EW42"/>
  <c r="EV42"/>
  <c r="N208" i="1"/>
  <c r="O341"/>
  <c r="N341"/>
  <c r="P8" l="1"/>
  <c r="P7" s="1"/>
  <c r="AB43" i="7"/>
  <c r="CG43" s="1"/>
  <c r="Q7" i="1"/>
  <c r="R7"/>
  <c r="N8"/>
  <c r="N7" s="1"/>
  <c r="O8"/>
  <c r="O7" s="1"/>
  <c r="Q332"/>
  <c r="P332"/>
  <c r="N332"/>
  <c r="O332"/>
  <c r="R332"/>
  <c r="R6" s="1"/>
  <c r="R545" s="1"/>
  <c r="CG42" i="7"/>
  <c r="Q6" i="1" l="1"/>
  <c r="Q545" s="1"/>
  <c r="O6"/>
  <c r="O545" s="1"/>
  <c r="P6"/>
  <c r="P545" s="1"/>
  <c r="N6"/>
  <c r="N545" s="1"/>
</calcChain>
</file>

<file path=xl/sharedStrings.xml><?xml version="1.0" encoding="utf-8"?>
<sst xmlns="http://schemas.openxmlformats.org/spreadsheetml/2006/main" count="3885" uniqueCount="1474">
  <si>
    <t xml:space="preserve">Код строки
</t>
  </si>
  <si>
    <t xml:space="preserve">Код расхода по БК
</t>
  </si>
  <si>
    <t>Объем средств на исполнение расходного обязательства (тыс. руб.)</t>
  </si>
  <si>
    <t>1</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</si>
  <si>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</si>
  <si>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</si>
  <si>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1.5.4.2.39. разработка и утверждение программ комплексного развития систем коммунальной инфраструктуры поселений, программ комплексного развития транспортной инфраструктуры поселений, программ комплексного развития социальной инфраструктуры поселений,  требования к которым устанавливаются Правительством Российской Федерации</t>
  </si>
  <si>
    <t xml:space="preserve">Российской Федерации
</t>
  </si>
  <si>
    <t>субъекта Российской Федерации</t>
  </si>
  <si>
    <t>плановый период</t>
  </si>
  <si>
    <t>номер статьи,(подстатьи), пункта (подпункта)</t>
  </si>
  <si>
    <t xml:space="preserve">дата вступления в силу и срок действия
</t>
  </si>
  <si>
    <t>раздел</t>
  </si>
  <si>
    <t>подраздел</t>
  </si>
  <si>
    <t>по плану</t>
  </si>
  <si>
    <t>по факту</t>
  </si>
  <si>
    <t>2</t>
  </si>
  <si>
    <t>3</t>
  </si>
  <si>
    <t>4</t>
  </si>
  <si>
    <t>5</t>
  </si>
  <si>
    <t>6</t>
  </si>
  <si>
    <t>7</t>
  </si>
  <si>
    <t>8</t>
  </si>
  <si>
    <t>10</t>
  </si>
  <si>
    <t>11</t>
  </si>
  <si>
    <t>12</t>
  </si>
  <si>
    <t>13</t>
  </si>
  <si>
    <t>14</t>
  </si>
  <si>
    <t>1000</t>
  </si>
  <si>
    <t xml:space="preserve">
x
</t>
  </si>
  <si>
    <t>1001</t>
  </si>
  <si>
    <t xml:space="preserve">
</t>
  </si>
  <si>
    <t>01</t>
  </si>
  <si>
    <t>06</t>
  </si>
  <si>
    <t>1005</t>
  </si>
  <si>
    <t>05</t>
  </si>
  <si>
    <t>02</t>
  </si>
  <si>
    <t>04</t>
  </si>
  <si>
    <t>09</t>
  </si>
  <si>
    <t>1007</t>
  </si>
  <si>
    <t>08</t>
  </si>
  <si>
    <t>03</t>
  </si>
  <si>
    <t>1015</t>
  </si>
  <si>
    <t>07</t>
  </si>
  <si>
    <t>1024</t>
  </si>
  <si>
    <t>1048</t>
  </si>
  <si>
    <t>1100</t>
  </si>
  <si>
    <t>1103</t>
  </si>
  <si>
    <t>1118</t>
  </si>
  <si>
    <t>1.3.1.6. создание условий для развития туризма</t>
  </si>
  <si>
    <t>1401</t>
  </si>
  <si>
    <t>1403</t>
  </si>
  <si>
    <t>1503</t>
  </si>
  <si>
    <t>Итого расходных обязательств муниципальных образований</t>
  </si>
  <si>
    <t>8000</t>
  </si>
  <si>
    <t>муниципального образования</t>
  </si>
  <si>
    <t>Федеральный Закон от 06.10.2003 № 131-ФЗ "Об общих принципах организации местного самоуправления"</t>
  </si>
  <si>
    <t>06.10.2003, не установлен</t>
  </si>
  <si>
    <t xml:space="preserve">Закон Томской области от 11 сентября 2007 г. N 198-ОЗ "О муниципальной службе в Томской области" </t>
  </si>
  <si>
    <t>ст. 11, п. 1</t>
  </si>
  <si>
    <t>01.01.2006, не установлен</t>
  </si>
  <si>
    <t>Федеральный Закон от 02.03.2007 № 25-ФЗ "О муниципальной службе в РФ"</t>
  </si>
  <si>
    <t>01.06.2007, не установлен</t>
  </si>
  <si>
    <t>01.01.2008, не установлен</t>
  </si>
  <si>
    <t>29.02.1993, не установлен</t>
  </si>
  <si>
    <t>01.01.2005, не установлен</t>
  </si>
  <si>
    <t>01.01.2009, не установлен</t>
  </si>
  <si>
    <t>Решение Думы Колпашевского района от 26.11.2008 № 564 "О введении новых систем оплаты труда" (в редакции от 13.02.2009 № 621, от 24.02.2009 № 623, от 28.08.2009 № 690, от 07.12.2009 № 741, от 24.12.2010 № 31, от 25.11.2011 № 138, от 24.05.2012 № 82, от 16.12.2013 № 117, от 28.05.2014 № 49, от 27.04.2015 № 33)</t>
  </si>
  <si>
    <t>в целом</t>
  </si>
  <si>
    <t>13.08.2014, не установлен</t>
  </si>
  <si>
    <t>п. 1</t>
  </si>
  <si>
    <t>23.04.2012, не установлен</t>
  </si>
  <si>
    <t>п.1-3</t>
  </si>
  <si>
    <t>ст. 15, п.1, п.п. 3</t>
  </si>
  <si>
    <t xml:space="preserve">
Гл. 1-2 Положения</t>
  </si>
  <si>
    <t xml:space="preserve">
13.07.2010, не установлен</t>
  </si>
  <si>
    <t>Решенин Думы Колпашевского района от 14.07.2006 № 181 "Об утверждении Положения об организации работ по содержанию и ремонту, автомобильных дорог общего пользования между населенными пунктами и дорожных сооружений вне границ населенных пунктов в границах МО "Колпашевский район" (в редакции от 17.07.2008 № 501, от 23.07.2008 № 514, от 29.09.2010 № 919)</t>
  </si>
  <si>
    <t>Гл. 2-6 Положения</t>
  </si>
  <si>
    <t>01.08.2006, не установлен</t>
  </si>
  <si>
    <t>01.01.2016- 31.12.2016</t>
  </si>
  <si>
    <t>01.01.2014, не установлен</t>
  </si>
  <si>
    <t>Гл.3, ст.15, п.1, п.п.5</t>
  </si>
  <si>
    <t>13.05.2010, не установлен</t>
  </si>
  <si>
    <t>Гл.3, ст.15, п.1, п.п.6</t>
  </si>
  <si>
    <t>Постановление Администрации Колпашевского района от 14.09.2015 № 931 "О порядке расходования иных межбюджетных трансфертов, представленных из областного бюджета, на финансовое обеспечение мероприятий по временному социально-бытовому обустройству лиц, вынужденно покинувших территорию Украины и находящихся в помещениях, закрепленных за муниципальными учреждениями на праве оперативного управления или принадлежащих им на ином праве, определенных в качестве пунктов временного размещения" (в редакции от 30.09.2015 № 1001)</t>
  </si>
  <si>
    <t>14.09.2015- 25.12.2015</t>
  </si>
  <si>
    <t>Решение Думы Колпашевского района от 27.02.2007 № 297 "Об утверждении Положения о формировании, пополнении и учете районного страхового (аварийного) запаса материально-технических ресурсов для предприятий ЖКХ Колпашевского района" (от 26.12.2007 № 408)</t>
  </si>
  <si>
    <t>п.3 Положения</t>
  </si>
  <si>
    <t>27.02.2007- не установлен</t>
  </si>
  <si>
    <t>п.1</t>
  </si>
  <si>
    <t>10.09.2012, не установлен</t>
  </si>
  <si>
    <t>Решение Думы Колпашевского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</si>
  <si>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Федеральный Закон от 21.12.1994 № 68-ФЗ "О защите населения и территорий от чрезвычайных ситуаций природного и техногенного характера"</t>
  </si>
  <si>
    <t>ст. 24</t>
  </si>
  <si>
    <t>24.12.1994, не установлен</t>
  </si>
  <si>
    <t>Закон Томской области от 11.11.2005 N 206-ОЗ "О защите населения и территорий Томской области от чрезвычайных ситуаций природного и техногенного характера"</t>
  </si>
  <si>
    <t>03.12.2005, не установлен</t>
  </si>
  <si>
    <t>в том числе:</t>
  </si>
  <si>
    <t>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 от 16.12.2013 № 129)</t>
  </si>
  <si>
    <t>п.1-3 Положения</t>
  </si>
  <si>
    <t>01.07.2007, не установлен</t>
  </si>
  <si>
    <t xml:space="preserve">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 от 16.12.2013 № 129)
</t>
  </si>
  <si>
    <t>Гл.3, ст.15, п.1, п.п. 14</t>
  </si>
  <si>
    <t>Постановление Администрации Томской области от 05.06.2014 N 215а "О Порядке предоставления иных межбюджетных трансфертов на приобретение модульных фельдшерско-акушерских пунктов"</t>
  </si>
  <si>
    <t>05.06.2014- 31.12.2014</t>
  </si>
  <si>
    <t>Решение Думы Колпашевского района от 26.01.2015 № 8 "Об утверждении положения о создании условий для оказания медицинской помощи населению на территории Колпашевского района в соответствии с территориальной программой государственных гарантий бесплатного оказания гражданам медицинской помощи"</t>
  </si>
  <si>
    <t>26.01.2015, не установлен</t>
  </si>
  <si>
    <t xml:space="preserve">Постановление Администрации Колпашеского района от 01.10.2014 № 1130 "О порядке расходования межбюджетного трансферта из областного бюджета бюджету муниципального образования «Колпашевский район» на приобретение модульных фельдшерско-акушерских пунктов" (в редакции от 19.12.2014 № 1534, от 27.12.2014 № 1160, от 04.03.2015 № 266)
</t>
  </si>
  <si>
    <t>01.10.2014- 31.03.2015</t>
  </si>
  <si>
    <t>Гл.3, ст.15, п. 1, п.п. 16</t>
  </si>
  <si>
    <t>Решение Думы Колпашевского района от 28.12.2005 № 50 "Об утверждении Положения о муниципальном архиве Колпашевского района"</t>
  </si>
  <si>
    <t>Гл.3, ст.15, часть 1, п.19.1</t>
  </si>
  <si>
    <t>ст. 10</t>
  </si>
  <si>
    <t>08.07.2007, не установлен</t>
  </si>
  <si>
    <t>Постановление Администрации Колпашевского района от 30.12.2013 № 1404 "Об утверждении муниципальной программы "Развитие культуры в Колпашевском районе на 2014-2017 годы" (в редакции от 21.03.2014 № 269, от 20.06.2014 № 584, от 24.09.2014 № 916, от 13.10.2014 № 1181, от 07.11.2014 № 1293, от 14.11.2014 № 1322, от 17.12.2014 № 1492, от 30.12.2014 № 1643, от 06.03.2015 № 276, от 13.04.2015 № 399, от 29.07.2015 № 732, от 29.09.2015 № 997, от 29.10.2015 № 1096, от 17.12.2015 № 1320)</t>
  </si>
  <si>
    <t>01.01.2014- 31.12.2017</t>
  </si>
  <si>
    <t>01.01.2015, не установлен</t>
  </si>
  <si>
    <t>Гл.3, ст.15, п.1, п.п. 25</t>
  </si>
  <si>
    <t>01.01.2013, не установлен</t>
  </si>
  <si>
    <t>19.09.2008, не установлен</t>
  </si>
  <si>
    <t>Решение Думы Колпашевскогот района от 29.04.2013 № 35 "О порядке использования средств бюджета муниципального образования "Колпашевский район" на реализацию мероприятий, направленных на содействие развитию малого и среднего предпринимательства" (в редакции от 05.09.2013 № 72, от 13.08.2014 № 76)</t>
  </si>
  <si>
    <t>29.04.2013, не установлен</t>
  </si>
  <si>
    <t>Решение Думы Колпашевского района от 29.04.2013 № 37 "О порядке использования средств бюджета муниципального образования "Колпашевский район" на проведение мероприятий по улучшению жилищных условий граждан, проживающих в сельской местности, в том числе молодых семей и молодых специалистов" (в редакции от 31.07.2015 № 71)</t>
  </si>
  <si>
    <t>29.04.2013- 31.12.2020</t>
  </si>
  <si>
    <t>ст. 1</t>
  </si>
  <si>
    <t>Постановление Администрации Колпашевского района от 31.03.2016 № 334 "Об утверждении муниципальной программы "Развитие молодежной политики, физической культуры и массового спорта на территории муниципального образования "Колпашевский район"</t>
  </si>
  <si>
    <t>01.01.2016- 31.12.2021</t>
  </si>
  <si>
    <t>Гл.3, ст.15, п.1, п.п.26</t>
  </si>
  <si>
    <t xml:space="preserve">п. 2-5 Положения,      </t>
  </si>
  <si>
    <t>30.03.2007, не установлен</t>
  </si>
  <si>
    <t xml:space="preserve">Федеральный Закон от 06.10.2003 № 131-ФЗ "Об общих принципах организации местного самоуправления" </t>
  </si>
  <si>
    <t>Гл.3, ст.15, п.1, п.п.27</t>
  </si>
  <si>
    <t>01.01.2007, не установлен</t>
  </si>
  <si>
    <t>Программа</t>
  </si>
  <si>
    <t>01.01.2016- 31.12.2020</t>
  </si>
  <si>
    <t>(684)</t>
  </si>
  <si>
    <t>Решение Думы Колпашевского района от 15.12.2014 № 161 "О порядке расходования денежных средств, выделенных бюджету муниципального образования "Колпашевский район" на осуществление переданных полномочий по решению вопросов местного значения поселений Колпашевского района"</t>
  </si>
  <si>
    <t>Решение Думы Колпашевского района от 15.12.2014 № 160 "Об организации библиотечного обслуживания населения сельских поселений Колпашевского района, комплектовании и обеспечении сохранности библиотечных фондов библиотек сельских поселений Колпашевского района"</t>
  </si>
  <si>
    <t>Постановление Администрации Колпашевского района от 30.01.2015 № 79 "Об утверждении Порядка расходования иных межбюджетных трансфертов, выделяемых бюджету муниципального образования "Колпашевский район" на осуществление переданных полномочий по решению вопроса местного значения по организации библиотечного обслуживания населения, комплектованию и обеспечению сохранности библиотечных фондов библиотек Колпашевского городского поселения"</t>
  </si>
  <si>
    <t>ст. 34</t>
  </si>
  <si>
    <t>ст. 9-13</t>
  </si>
  <si>
    <t>Решение Думы Колпашевского района от 08.10.2005 № 418 "Об утверждении положений " (Приложение 1)</t>
  </si>
  <si>
    <t xml:space="preserve">п.2-4 Положения </t>
  </si>
  <si>
    <t xml:space="preserve">01.01.2006, не установлен </t>
  </si>
  <si>
    <t>ст.34, п.9</t>
  </si>
  <si>
    <t>06.10.2003, не утановлен</t>
  </si>
  <si>
    <t>п.1-2</t>
  </si>
  <si>
    <t>31.05.2006, не установлен</t>
  </si>
  <si>
    <t>Решение Думы Колпашевского района от 25.03.2015 № 30 "О порядке расходования денежных средств, выделенных бюджету муниципального образования "Колпашевский район" на осуществление переданных полномочий по решению вопросов местного значения"</t>
  </si>
  <si>
    <t>ст.17, п.1, п.п. 3</t>
  </si>
  <si>
    <t>Решение Думы Колпашевского района от 14.07.2006 № 176 "О финансировании расходов, связанных с размещением заказа на поставку товаров, выполнение работ и оказание услуг для муниципальных нужд" (в редакции от 28.04.2008 № 467)</t>
  </si>
  <si>
    <t>п. 1-4</t>
  </si>
  <si>
    <t>14.07.2006, не установлен</t>
  </si>
  <si>
    <t>Постановление Правительства РФ от 30.12.2003 N 794 "О единой государственной системе предупреждения и ликвидации чрезвычайных ситуаций"</t>
  </si>
  <si>
    <t>п.8, п.9, п.20, п.30</t>
  </si>
  <si>
    <t>20.01.2004, не установлен</t>
  </si>
  <si>
    <t>Постановление Администрации Томской области от 17.08.2007 N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области"</t>
  </si>
  <si>
    <t>п. 32</t>
  </si>
  <si>
    <t>17.08.2007, не установлен</t>
  </si>
  <si>
    <t>Постановление Администрации Колпашевского района от 20.11.2015 № 1176 "Об утверждении положения о единой дежурно-диспетчерской службе Колпашевского района"</t>
  </si>
  <si>
    <t>20.11.2015, не установлен</t>
  </si>
  <si>
    <t>ст.57, п.1, п.2</t>
  </si>
  <si>
    <t>25.06.2002, не установлен</t>
  </si>
  <si>
    <t>ст. 22, п.1</t>
  </si>
  <si>
    <t>29.01.2007, не установлен</t>
  </si>
  <si>
    <t>Решение Думы Колпашевского района от 26.12.2007 № 401 "О порядке расходования средств местного бюджета на финансирование проведения муниципальных выборов"</t>
  </si>
  <si>
    <t>Федеральный закон от 26.11.1996 № 138-ФЗ "Об обеспечении конституционных прав граждан Российской Федерации избирать и быть избранными в органы местного самоуправления"</t>
  </si>
  <si>
    <t>ст.4, п.4</t>
  </si>
  <si>
    <t>02.12.1996, не установлен</t>
  </si>
  <si>
    <t>Закон Томской области от 14.02.2005 № 29-ОЗ "О муниципальных выборах в Томской области"</t>
  </si>
  <si>
    <t>ст. 46, п.1</t>
  </si>
  <si>
    <t>26.02.2005, не установлен</t>
  </si>
  <si>
    <t>с. 17, п.1, п.п. 5</t>
  </si>
  <si>
    <t>Закон Томской области от 10.04.2003 № 50-ОЗ "Об избирательных комиссиях, комиссиях референдума в Томской области"</t>
  </si>
  <si>
    <t>ст.15, п.1</t>
  </si>
  <si>
    <t>06.05.2003, не установлен</t>
  </si>
  <si>
    <t>Федеральный закон от 10.01.2003 № 20-ФЗ "О Государственной автоматизированной системе Российской Федерации "Выборы"</t>
  </si>
  <si>
    <t>ст.25, п.1, п.2</t>
  </si>
  <si>
    <t>24.01.2003, не установлен</t>
  </si>
  <si>
    <t>Гл.3, ст.17, п. 1, п.п. 8.1.</t>
  </si>
  <si>
    <t>Решение Думы Колпашевского района от 08.10.2005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t>
  </si>
  <si>
    <t>п. 1-3</t>
  </si>
  <si>
    <t xml:space="preserve">01.01.2012, не установлен </t>
  </si>
  <si>
    <t>(659)</t>
  </si>
  <si>
    <t>Постановление Администрации Томской области от 28.12.2012 N 544а "О порядке предоставления иных межбюджетных трансфертов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</si>
  <si>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п. 1,3</t>
  </si>
  <si>
    <t>Решение Думы Колпашевского района от 26.01.2015 № 8 "Об утверждении положения о создании условий для оказания медицинской помощи населению на территории Колпашевского района в соответствии с территориальной программой государственных гарантий бесплатного оказания гражданам медицинской помощи" (в редакции от 27.11.2015 № 39)</t>
  </si>
  <si>
    <t>Федеральный Закон от 12.01.1996 № 7-ФЗ "О некоммерческих организациях"</t>
  </si>
  <si>
    <t>ст. 31</t>
  </si>
  <si>
    <t>24.01.1996, не установлен</t>
  </si>
  <si>
    <t>Решение Думы Колпашевского района от 25.11.2013 № 107 "О финансировании за счет средств бюджета МО "Колпашевский район" мероприятий направленных на поддержку социально-орентированных некомерческих организаций, не являющихся муниципальными учреждениями" (в редакции от 15.12.2014 № 154)</t>
  </si>
  <si>
    <t>25.11.2013, не установлен</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</si>
  <si>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</si>
  <si>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ст.8</t>
  </si>
  <si>
    <t>23.12.1998, не установлен</t>
  </si>
  <si>
    <t>Решение Думы Колпашевского района от 25.11.2011 № 150 "О порядке расходования бюджетных ассигнований, выделенных бюджету муниципального образования «Колпашевский район» из бюджета Томской области на исполнение судебных решений"</t>
  </si>
  <si>
    <t>25.11.2011, не установлен</t>
  </si>
  <si>
    <t>ст.15.1, п.2</t>
  </si>
  <si>
    <t>Ст. 4, п. 2,3 Положения</t>
  </si>
  <si>
    <t>Решение Думы Колпашевского района от 31.10.2006 № 222 "Об утверждении положения о присвоении звания "Человек года" на территории муниципального образования "Колпашевский район"</t>
  </si>
  <si>
    <t>Гл. 6- 9 Положения</t>
  </si>
  <si>
    <t>31.10.2006, не установлен</t>
  </si>
  <si>
    <t>п.2</t>
  </si>
  <si>
    <t>19.12.2012, не установлен</t>
  </si>
  <si>
    <t>Закон Томской области от 07.09.2009 N 169-ОЗ "О взаимодействии органов государственной власти Томской области с Ассоциацией "Совет муниципальных образований Томской области"</t>
  </si>
  <si>
    <t>ст. 6,7</t>
  </si>
  <si>
    <t>26.09.2009, не установлен</t>
  </si>
  <si>
    <t>Решение Думы Колпашевского района от 28.02.2006 № 82 "О вступлении в Совет Муниципальных образований Томской области" (в редакции от 22.12.2006 № 255, от 26.02.2010 № 814 )</t>
  </si>
  <si>
    <t>28.02.2006, не установлен</t>
  </si>
  <si>
    <t>Федеральный закон от 20.08.2004 N 113-ФЗ "О присяжных заседателях федеральных судов общей юрисдикции в Российской Федерации"</t>
  </si>
  <si>
    <t>ст. 5, п. 14</t>
  </si>
  <si>
    <t>23.08.2004, не установлен</t>
  </si>
  <si>
    <t xml:space="preserve">Закон Томской области от 29.12.2007 N 320-ОЗ "Об утверждении Методики распределения субвенций между бюджетами муниципальных образований Томской области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</si>
  <si>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 xml:space="preserve">Постановление Администрации Колпашевского района от 30.06.2010 № 862 "Об установлении расходных обязательств по осуществлению отдельных государственных полномочий по составлению (изменению и дополнению) списков кандидатов в присяжные заседатели федеральных судов общей юрисдикции в РФ"         </t>
  </si>
  <si>
    <t>01.07.2010 - до окончания срока действия ЗТО от 29.12.2007 № 320-ОЗ</t>
  </si>
  <si>
    <t>Федеральный закон от 22.10.2004 N 125-ФЗ "Об архивном деле в Российской Федерации"</t>
  </si>
  <si>
    <t>27.10.2004, не установлен</t>
  </si>
  <si>
    <t xml:space="preserve">Закон Томской области от 10.11.2006 N 261-ОЗ "О наделении органов местного самоуправления отдельными государственными полномочиями по хранению, комплектованию, учету и использованию архивных документов, относящихся к собственности Томской области" </t>
  </si>
  <si>
    <t>вводиться в действие ежегодно</t>
  </si>
  <si>
    <t>Постановление Администрации Колпашевского района от 30.06.2010г. № 858 "Об установлении расходного обязательства МО "Колпашевский район" по осуществлению отдельных государственных полномочий по ТО по хранению, комплектованию, учету и использованию архивных документов, относящихся к государственной собственности ТО и находящихся на территории МО "Колпашевский район" (в редакции от 07.04.2011 № 322, от 05.11.2013 № 1170)</t>
  </si>
  <si>
    <t>п.1-4</t>
  </si>
  <si>
    <t>01.07.2010, до окончания срока действия ЗТО от 10.11.2006 № 261-ОЗ</t>
  </si>
  <si>
    <t xml:space="preserve">Закон Томской области от 14.10.2005 N 191-ОЗ "О наделении органов местного самоуправления отдельными государственными полномочиями по расчету и предоставлению дотаций поселениям Томской области за счет средств областного бюджета" </t>
  </si>
  <si>
    <t>п. 1-5</t>
  </si>
  <si>
    <t xml:space="preserve">Постановление Администрации Колпашевского района от 29.06.2010 № 845 "Об установлении расходных обязательств по осуществлению отдельных государственных полномочий по расчету и предоставлению дотаций поселениям, входящим в состав МО "Колпашевский район" </t>
  </si>
  <si>
    <t>01.07.2010, до окончания действия ЗТО от 14.10.2005 № 191-ОЗ</t>
  </si>
  <si>
    <t>Федеральный закон от 29 декабря 2012 г. N 273-ФЗ
"Об образовании в Российской Федерации"</t>
  </si>
  <si>
    <t>01.09.2013, не установлен</t>
  </si>
  <si>
    <t>ст.47, ч.5, п.7</t>
  </si>
  <si>
    <t>Закон Томской области от 15.12.2004 N 248-ОЗ "О наделении органов местного самоуправления отдельными государственными полномочиями по выплате надбавок к тарифной ставке (должностному окладу) педагогическим работникам и руководителям муниципальных образовательных учреждений"</t>
  </si>
  <si>
    <t>ст. 2-5</t>
  </si>
  <si>
    <t>01.01.2006 вводится в действие ежегодно</t>
  </si>
  <si>
    <t>Постановление Администрации Колпашевского района  от 26.06.2010 № 829 "Об установлении расходных обязательств по осуществлению отдельных государственных полномочий по выплате надбавок к тарифной ставке (должностному окладу) педагогическим работникам и руководителм МОУ" (в редакции от 28.11.2013 № 1232)</t>
  </si>
  <si>
    <t xml:space="preserve">01.07.2010-до окончания срока действия ЗТО от 15.12.2004 № 248-ОЗ </t>
  </si>
  <si>
    <t>ст. 8</t>
  </si>
  <si>
    <t xml:space="preserve">Закон Томской области от 11.09.2007 N 188-ОЗ "О наделении органов местного самоуправления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t>
  </si>
  <si>
    <t>ст. 3,6</t>
  </si>
  <si>
    <t>01.01.2008, вводиться ежегодно ЗТО "Об областном бюджете на очередной финансовый год"</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</si>
  <si>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редакцтт от 19.06.2012 № 577, от 13.02.2013 № 119)</t>
  </si>
  <si>
    <t xml:space="preserve">01.07.2010, до окончания срока действия ЗТО от 11.09.2007 № 188-ОЗ </t>
  </si>
  <si>
    <t>Федеральный закон от 24.04.2008 N 48-ФЗ "Об опеке и попечительстве"</t>
  </si>
  <si>
    <t>01.09.2008, не установлен</t>
  </si>
  <si>
    <t>Закон Томской области от 15.12.2004 N 246-ОЗ "О наделении органов местного самоуправления отдельными государственными полномочиями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t>
  </si>
  <si>
    <t>ст.1 п.п.1)</t>
  </si>
  <si>
    <t>п.1.3.</t>
  </si>
  <si>
    <t xml:space="preserve">01.07.2010- до окончания срока действия ЗТО от 15.12.2004 № 246-ОЗ </t>
  </si>
  <si>
    <t>ст.47</t>
  </si>
  <si>
    <t>Закон Томской области от 09.12.2013 N 214-ОЗ "О наделении органов местного самоуправления отдельными государственными полномочиями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</si>
  <si>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ст.5</t>
  </si>
  <si>
    <t>01.01.2014, вводится в действие ежегодно ЗТО о бюджете ТО</t>
  </si>
  <si>
    <t>Постановление Администрации Колпашевского района от 15.01.2014 № 14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214-ОЗ"</t>
  </si>
  <si>
    <t>01.01.2014, до окончания действия ЗТО от 09.12.2013 № 214-ОЗ</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</si>
  <si>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</si>
  <si>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23.12.1996, не установлен</t>
  </si>
  <si>
    <t>ст.1 п.п.5)</t>
  </si>
  <si>
    <t>вводится в действие ежегодно</t>
  </si>
  <si>
    <t>п.1.3</t>
  </si>
  <si>
    <t>01.07.2010, до окончания срока действия ЗТО от 15.12.2004 № 246-ОЗ</t>
  </si>
  <si>
    <t>Кодекс Российской Федерации об административных правонарушениях
от 30 декабря 2001 г. N 195-ФЗ</t>
  </si>
  <si>
    <t>ст.22.1</t>
  </si>
  <si>
    <t>01.07.2002, не установлен</t>
  </si>
  <si>
    <t>Закон Томской области от 24.11.2009 N 261-ОЗ "О наделении органов местного самоуправления отдельными государственными полномочиями по созданию и обеспечению деятельности административных комиссий в Томской области"</t>
  </si>
  <si>
    <t>ст.4</t>
  </si>
  <si>
    <t>Постановление Администрации Колпашевского района от 30.06.2010 № 865 "Об установлении расходного обязательства МО "Колпашевский район" по осуществлению отдельных государственных полномочий по созданию и обеспечению деятельности административных комиссий"</t>
  </si>
  <si>
    <t>01.07.2010, до окончания срока действия ЗТО от 24.11.2009 № 261-ОЗ</t>
  </si>
  <si>
    <t>Федеральный закон от 24.06.1999 N 120-ФЗ "Об основах системы профилактики безнадзорности и правонарушений несовершеннолетних"</t>
  </si>
  <si>
    <t>ст. 2, п.п.2; ст. 11, п.п. 1;  ст. 25, п.п. 1, п.п. 3</t>
  </si>
  <si>
    <t>28.06.1999, не установлен</t>
  </si>
  <si>
    <t>Закон Томской области от 29.12.2005 N 241-ОЗ "О наделении органов местного самоуправления государственными полномочиями по созданию и обеспечению деятельности комиссий по делам несовершеннолетних и защите их прав"</t>
  </si>
  <si>
    <t>Ст. 1-3</t>
  </si>
  <si>
    <t>вводится ежегодно ЗТО об областном бюджете на очередной финансовый год</t>
  </si>
  <si>
    <t>Постановление Администрации Колпашевского района от 30.06.2010 № 860 "Об установлении расходного обязательства муниципального образования "Колпашевский район" по осуществлению отдельных государственных полномочий по созданию и обеспечению деятельности комиссий по делам несовершенннолетних и защите их прав"</t>
  </si>
  <si>
    <t>01.07.2010, до окончания срока действия ЗТО от 29.12.2005 № 241-ОЗ</t>
  </si>
  <si>
    <t>27.12.1998, не установлен</t>
  </si>
  <si>
    <t>Закон Томской области от 28.12.2007 №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t>
  </si>
  <si>
    <t>01.01.2008, вводится ежегодно ЗТО об областном бюджете на очередной финансовый год</t>
  </si>
  <si>
    <t>01.07.2010, до окнчания срока действия ЗТО от 28.12.2007 № 298-ОЗ</t>
  </si>
  <si>
    <t xml:space="preserve">Закон Томской области от 07.07.2009 N 104-ОЗ "О наделении органов местного самоуправления отдельными государственными полномочиями по предоставлению, переоформлению и изъятию горных отводов для разработки месторождений и проявлений общераспространенных полезных ископаемых" </t>
  </si>
  <si>
    <t>ст. 7 п.1</t>
  </si>
  <si>
    <t>Постановление Администрации Колпашевского района от 30.06.2010 № 866 "Об установлении расходного обязательства МО "Колпашевский район" по осуществлению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в Томской области"</t>
  </si>
  <si>
    <t>01.07.2010- до окончания срока действия ЗТО от 07.07.2009 № 104-ОЗ</t>
  </si>
  <si>
    <t>Закон Томской области от 09.12.2013 N 216-ОЗ "О наделении органов местного самоуправления отдельными государственными полномочиями по регистрации коллективных договоров"</t>
  </si>
  <si>
    <t>Постановление Администрации Колпашевского района от 30.12.2013 № 1405 "Об установлении расходных обязательств по осуществлению отдельных государственных полномочий по регистрации коллективных договоров"</t>
  </si>
  <si>
    <t>01.01.2014, до окончания срока действия ЗТО от 09.12.2013 № 216-ОЗ</t>
  </si>
  <si>
    <t>Постановление Главного государственного санитарного врача РФ от 6 мая 2010 г. N 54
"Об утверждении СП 3.1.7.2627-10"</t>
  </si>
  <si>
    <t>раздел IX, п. 9.2.</t>
  </si>
  <si>
    <t>06.05.2010, не установлен</t>
  </si>
  <si>
    <t xml:space="preserve">Закон Томской области от 11.04.2013 N 51-ОЗ "О наделении органов местного самоуправления отдельными государственными полномочиями по регулированию численности безнадзорных животных" </t>
  </si>
  <si>
    <t>01.06.2013, вводится в действие ежегодно ЗТО о бюджете ТО</t>
  </si>
  <si>
    <t>Постановление Администрации Колпашевского района от 02.07.2013 № 625 "Об установлении расходного обязательства муниципального образования "Колпашевский район" по осуществлению отдельных государственных полномочий по Томской области по регулированию численности безнадзорных животных на территории муниципального образования "Колпашевский район"</t>
  </si>
  <si>
    <t>01.06.2013, до окончания действия ЗТО от 11.04.2013 № 51-ОЗ</t>
  </si>
  <si>
    <t>Постановление Правительства РФ от 7 марта 1995 г. N 239 "О мерах по упорядочению государственного регулирования цен (тарифов)"</t>
  </si>
  <si>
    <t>16.03.1995, не установлен</t>
  </si>
  <si>
    <t xml:space="preserve">Закон Томской области от 18.03.2003 N 36-ОЗ "О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</si>
  <si>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ст. 2-4</t>
  </si>
  <si>
    <t>01.05.2006 вводиться в действие ежегодно</t>
  </si>
  <si>
    <t>п.1-6</t>
  </si>
  <si>
    <t>01.07.2010-До окончания срока действия ЗТО от 18.03.2003 № 36-ОЗ</t>
  </si>
  <si>
    <t>Закон Томской области от 09.12.2013 N 213-ОЗ "О наделении органов местного самоуправления отдельными государственными полномочиями по обеспечению предоставления бесплатной методической, психолого 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</si>
  <si>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01.09.2013, вводится в действие ежегодно ЗТО о бюджете ТО</t>
  </si>
  <si>
    <t>Постановление Администрации Колпашевского района от 15.01.2014 № 15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213-ОЗ"</t>
  </si>
  <si>
    <t>01.01.2014, до окончания действия ЗТО от 09.12.2013 № 213-ОЗ</t>
  </si>
  <si>
    <t>Федеральный закон от 25.10.2002 № 125-ФЗ "О жилищных субсидиях гражданам, выезжающим из районов Крайнего Севера и приравненных к ним местностей"</t>
  </si>
  <si>
    <t>ст. 3</t>
  </si>
  <si>
    <t>01.01.2003, не установлен</t>
  </si>
  <si>
    <t xml:space="preserve">Закон Томской области от 13.04.2006 N 73-ОЗ "О наделении органов местного самоуправления государственными полномочиями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t>
  </si>
  <si>
    <t>08.05.2006, вводиться ежегодно ЗТО "Об областном бюджете на очередной финансовый год"</t>
  </si>
  <si>
    <t>Постановление Администрации Колпашевского района от 30.06.2010 № 861 "Об установлении расходного бязательства МО "Колпашевский район" по осуществлению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</si>
  <si>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01.01.2011, не установлен</t>
  </si>
  <si>
    <t>01.01.2013 не установлен</t>
  </si>
  <si>
    <t>Гл.3, ст.15, п. 1, п.п. 20</t>
  </si>
  <si>
    <t>ст. 15</t>
  </si>
  <si>
    <t>16.07.2012, не установлен</t>
  </si>
  <si>
    <t>Федеральный закон от 28.03.1998 N 53-ФЗ "О воинской обязанности и военной службе"</t>
  </si>
  <si>
    <t>ст. 8, п. 2</t>
  </si>
  <si>
    <t>30.03.1998, не установлен</t>
  </si>
  <si>
    <t>21.12.2015- 25.12.2015</t>
  </si>
  <si>
    <t>(320)</t>
  </si>
  <si>
    <t>1939 (357)</t>
  </si>
  <si>
    <t>Решение Думы Колпашевского района от 21.12.2015 № 51 "О предоставлении иных межбюджетных трансфертов поселениям Колпашевского района на разработку программ комплексного развития коммунальной инфраструктуры"</t>
  </si>
  <si>
    <t>(617)</t>
  </si>
  <si>
    <t xml:space="preserve">ст. 15, ч. 1, п 11.                                                                                                                                                                          </t>
  </si>
  <si>
    <t>ст. 22</t>
  </si>
  <si>
    <t>Решение Думы Колпашевского района от 28.08.2009 № 691 "О введении НСОТ работников муниципальных общеобразовательных учреждений" (в редакции от 07.12.2009 № 742, от 25.12.2009 № 755, от 24.05.2010 № 838, от 24.05.2012 № 83, от 28.05.2014 № 50, от 27.04.2015 № 35)</t>
  </si>
  <si>
    <t xml:space="preserve">01.09.2013, не установлен </t>
  </si>
  <si>
    <t xml:space="preserve">Закон Томской области от 28.12.2010 N 336-ОЗ "О предоставлении межбюджетных трансфертов" </t>
  </si>
  <si>
    <t>абз 7 п.1 ст.1</t>
  </si>
  <si>
    <t>(570)</t>
  </si>
  <si>
    <t>ст. 23</t>
  </si>
  <si>
    <t>Решение Думы Колпашевского района от 26.01.2015 № 1 "Об утверждении Положения о порядке финансирования расходов на создание условий для осуществления присмотра и ухода за детьми, содержание детей в муниципальных образовательных организациях муниципального образования "Колпашевский район" за счет средств бюджета муниципального образования "Колпашевский район"  (в редакции решения от 29.02.2016 № 7)</t>
  </si>
  <si>
    <t>20.03.2013, не установлен</t>
  </si>
  <si>
    <t>(578)</t>
  </si>
  <si>
    <t>01.09.2019, не установлен</t>
  </si>
  <si>
    <t>01.01.2010, не установлен</t>
  </si>
  <si>
    <t>01.04.2013, не установлен</t>
  </si>
  <si>
    <t>(574)</t>
  </si>
  <si>
    <t>(683)</t>
  </si>
  <si>
    <t>(679)</t>
  </si>
  <si>
    <t>(613)</t>
  </si>
  <si>
    <t xml:space="preserve"> ст. 47, ч.5, п. 7</t>
  </si>
  <si>
    <t>(612)</t>
  </si>
  <si>
    <t xml:space="preserve"> 01.09.2013, не установлен </t>
  </si>
  <si>
    <t xml:space="preserve"> ст. 36, ч.14</t>
  </si>
  <si>
    <t>(660)</t>
  </si>
  <si>
    <t>ст. 15, п.1, п.п. 4</t>
  </si>
  <si>
    <t>Гл.3, ст.15, п.1, п.п.6.2.</t>
  </si>
  <si>
    <t>Гл.3, ст.15, п.1, п.п. 9</t>
  </si>
  <si>
    <t xml:space="preserve">ст. 15, п. 1, п.п 11.                                                                                                                                                                          </t>
  </si>
  <si>
    <t>ст. 22, 23, 24</t>
  </si>
  <si>
    <t xml:space="preserve">ст. 15, п.1, п.п. 11.                                                                                                                                                                                </t>
  </si>
  <si>
    <t>ст. 15, ч.1, п. 11.</t>
  </si>
  <si>
    <t xml:space="preserve">  ст. 9, ч.1, п. 2,5</t>
  </si>
  <si>
    <t>Решение Думы Колпашевского района от 10.12.2005 № 31 "Об утверждении Положения об организации предоставления дополнительного образования и финансирования учреждений дополнительного образования детей в Колпашевском районе" (в редакции решений от 29.05.2015 № 44, от 29.02.2016 № 8)</t>
  </si>
  <si>
    <t xml:space="preserve">Закон Томской области от 12.08.2013 № 149-ОЗ "Об образовании в Томской области" </t>
  </si>
  <si>
    <t xml:space="preserve"> Федеральный закон от 29.12.2012 № 273-ФЗ "Об образовании в Российской Федерации" </t>
  </si>
  <si>
    <t>Федеральный закон от 06.10.2003 № 131-ФЗ "Об общих принципах организации местного самоуправления в РФ"</t>
  </si>
  <si>
    <t>Гл.3, ст.15, п.1, п.п.12</t>
  </si>
  <si>
    <t>Гл.3, ст.15, часть 1, п.19.2</t>
  </si>
  <si>
    <t>Решение Думы Колпашевского района от 25.12.2009 № 774 "О порядке использования средств бюджета муниципального образования "Колпашевский район"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 (в редакции от 16.04.2010 № 824, от 23.04.2012 № 66, от 28.04.2014 № 40, от 15.12.2014 № 152, от 25.03.2015 № 28)</t>
  </si>
  <si>
    <t xml:space="preserve">Закон Томской области от 11.09.2007 N 198-ОЗ "О муниципальной службе в Томской области" </t>
  </si>
  <si>
    <t xml:space="preserve">Закон Томской области от 14.05.2005 N 78-ОЗ "О гарантиях и компенсациях за счет средств областного бюджета для лиц, проживающих в местностях, приравненных к районам Крайнего Севера" </t>
  </si>
  <si>
    <t>Закон РФ от 19.02.1993 N 4520-I "О государственных гарантиях и компенсациях для лиц, работающих и проживающих в районах Крайнего Севера и приравненных к ним местностях"</t>
  </si>
  <si>
    <t>Федеральный закон от 12.06.2002 N 67-ФЗ "Об основных гарантиях избирательных прав и права на участие в референдуме граждан Российской Федерации"</t>
  </si>
  <si>
    <t>Закон Томской области от 12.01.2007 N 29-ОЗ "О референдуме Томской области и местном референдуме"</t>
  </si>
  <si>
    <t>ст. 17, п.1, п.п.1</t>
  </si>
  <si>
    <t>Гл.3, ст.17, п. 1, п.п. 9.</t>
  </si>
  <si>
    <t>Гл.3, ст.20, п. 5.</t>
  </si>
  <si>
    <t>Федеральный закон от 21.12.1996 N 159-ФЗ "О дополнительных гарантиях по социальной поддержке детей-сирот и детей, оставшихся без попечения родителей"</t>
  </si>
  <si>
    <t>Гл.3, ст.15.1. п. 1, п.п. 8.</t>
  </si>
  <si>
    <t>Постановление Администрации Колпашевского района от 02.04.2010 № 512 "Об утверждении Методологии расчёта долговой нагрузки на бюджет муниципального образования "Колпашевский район"  с учётом действующих и планируемых к принятию долговых обязательств  на  среднесрочный прогноз"</t>
  </si>
  <si>
    <t>02.04.2010, не установлен</t>
  </si>
  <si>
    <t>Постановление Главы Колпашевского района от 22.06.2009 № 566 "Об утверждении Положения о порядке ведения муниципальной долговой книги муниципального образования "Колпашевский район"</t>
  </si>
  <si>
    <t>22.06.2009, не установлен</t>
  </si>
  <si>
    <t>28.04.2014, не установлен</t>
  </si>
  <si>
    <t>16.04.2015, не установлен</t>
  </si>
  <si>
    <t>Закон Томской области от 29.12.2015 N 215-ОЗ "О наделении органов местного самоуправления отдельными государственными полномочиями на подготовку и проведение на территории Томской области Всероссийской сельскохозяйственной переписи в 2016 году"</t>
  </si>
  <si>
    <t>Федеральный закон от 21 июля 2005 г. N 108-ФЗ
"О Всероссийской сельскохозяйственной переписи"</t>
  </si>
  <si>
    <t>21.06.2005, не установлен</t>
  </si>
  <si>
    <t>1101</t>
  </si>
  <si>
    <t>0102</t>
  </si>
  <si>
    <t>0103</t>
  </si>
  <si>
    <t>0104</t>
  </si>
  <si>
    <t>0106</t>
  </si>
  <si>
    <t>0111</t>
  </si>
  <si>
    <t>0113</t>
  </si>
  <si>
    <t>1004</t>
  </si>
  <si>
    <t>1020</t>
  </si>
  <si>
    <t>0309</t>
  </si>
  <si>
    <t>1010</t>
  </si>
  <si>
    <t>0405</t>
  </si>
  <si>
    <t>0406</t>
  </si>
  <si>
    <t>0408</t>
  </si>
  <si>
    <t>0409</t>
  </si>
  <si>
    <t>1006</t>
  </si>
  <si>
    <t>0412</t>
  </si>
  <si>
    <t>0502</t>
  </si>
  <si>
    <t>0503</t>
  </si>
  <si>
    <t>0701</t>
  </si>
  <si>
    <t>0702</t>
  </si>
  <si>
    <t>0707</t>
  </si>
  <si>
    <t>0709</t>
  </si>
  <si>
    <t>0801</t>
  </si>
  <si>
    <t>0804</t>
  </si>
  <si>
    <t>1003</t>
  </si>
  <si>
    <t>1102</t>
  </si>
  <si>
    <t>1301</t>
  </si>
  <si>
    <t>итого</t>
  </si>
  <si>
    <t>0203</t>
  </si>
  <si>
    <t>0310</t>
  </si>
  <si>
    <t>0501</t>
  </si>
  <si>
    <t>0401</t>
  </si>
  <si>
    <t>22.06.2015, не установлен</t>
  </si>
  <si>
    <t>Решение Думы Колпашевского района от 13.08.2014 № 75 "О финансировании за счет средств бюджета муниципального образования "Колпашевский район" мероприятий, направленных на поддержку садоводчиских, огороднических и дачных некомерческих объединений"</t>
  </si>
  <si>
    <t xml:space="preserve">Постановление Администрации Колпашевского района от 30.06.2010 № 855 "Об установлении расходных обязательств по осуществлению отдельных государственных полномочий по государственной поддержке сельскохозяйственного производства" </t>
  </si>
  <si>
    <t>01.07.2010, до окончания действия ЗТО от 29.12.2005 № 248-ОЗ</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</si>
  <si>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редакции от 13.02.2013 № 119, от 19.06.2012 № 577, от 13.02.2013 № 119)</t>
  </si>
  <si>
    <t>Решение Думы Колпашевского района от 29.04.2013 № 36 "О порядке использования средств бюджета муниципального образования «Колпашевский район на реализацию мероприятий, направленных на создание условий для развития сельскохозяйственного производства в поселениях, расширенре рынка сельскохозяйственной продукции, сырья, продовольствия" (в редакции от 27.11.2015 № 44)</t>
  </si>
  <si>
    <t>(661)</t>
  </si>
  <si>
    <t>(658)</t>
  </si>
  <si>
    <t>(657)</t>
  </si>
  <si>
    <t>Постановление Администрации Колпашевского района от 29.12.2011 № 1426 "Об утверждении Порядка использования бюджетных ассигнований резервного фонда Администрации Колпашевского района" (в редакции от 26.01.2012 № 61, от 15.04.2014 № 344, от 03.04.2015 № 379, от 26.05.2016 № 578)</t>
  </si>
  <si>
    <t>25.11.2013- 31.12.2020</t>
  </si>
  <si>
    <t>21.03.2016- 31.12.2020</t>
  </si>
  <si>
    <t>подпрограмма</t>
  </si>
  <si>
    <t>01.01.2016-31.12.2021</t>
  </si>
  <si>
    <t>01.01.2014- 31.12.2020</t>
  </si>
  <si>
    <t>Постановление Администрации Томской области от 26.04.2012 N 163а "Об утверждении Порядка предоставления иных межбюджетных трансфертов на исполнение судебных актов по обеспечению жилыми помещениями детей-сирот и детей, оставшихся без попечения родителей,а также лиц из их числа"</t>
  </si>
  <si>
    <t>п.2,3 порядка</t>
  </si>
  <si>
    <t>01.01.2012, не установлен</t>
  </si>
  <si>
    <t>Федеральный закон от 29.12.2006 N 264-ФЗ "О развитии сельского хозяйства"</t>
  </si>
  <si>
    <t>ст.7, п.1-2</t>
  </si>
  <si>
    <t>11.01.2007, не установлен</t>
  </si>
  <si>
    <t>Закон Томской области от 29.12.2005 N 248-ОЗ "О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t>
  </si>
  <si>
    <t>ст. 4,5</t>
  </si>
  <si>
    <t>Закон Российской Федерации от 21.02.1992 N 2395-I "О недрах"</t>
  </si>
  <si>
    <t>ст.3</t>
  </si>
  <si>
    <t>21.02.1992, не установлен</t>
  </si>
  <si>
    <t>Постановление Администрации Томской области от 17.09.2014 N 341а "О предоставлении из областного бюджета бюджетам муниципальных образований Томской области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помещениях, закрепленных за муниципальными учреждениями на праве оперативного управления или принадлежащих им на ином праве, определенных в качестве пунктов временного размещения"</t>
  </si>
  <si>
    <t>30.09.2014, не установлен</t>
  </si>
  <si>
    <t xml:space="preserve">Решение Думы Колпашевского района  от 23.04.2012 № 46 " О порядке расходования денежных средств, выделенных бюджету муниципального образования "Колпашевский район" из бюджета Томской области"
</t>
  </si>
  <si>
    <t>01.04.2012, не установлен</t>
  </si>
  <si>
    <t>01.01.2016, не установлен</t>
  </si>
  <si>
    <t>Решение Думы Колпашевского района от 28.06.2016 № 56 "О порядке и случаях использования собственных материальных ресурсов и финансовых средств муниципального образования "Колпашевский район" для осуществления переданных полномочий по решению вопросов местного значения поселений Колпашевского района"</t>
  </si>
  <si>
    <t>28.06.2016, не установлен</t>
  </si>
  <si>
    <t>01.01.2017, не установлен</t>
  </si>
  <si>
    <t>0105</t>
  </si>
  <si>
    <t>23.05.2012, не установлен</t>
  </si>
  <si>
    <r>
      <t>наименование, номер и дата</t>
    </r>
    <r>
      <rPr>
        <b/>
        <sz val="9"/>
        <rFont val="Times New Roman"/>
        <family val="1"/>
        <charset val="204"/>
      </rPr>
      <t xml:space="preserve">
</t>
    </r>
  </si>
  <si>
    <t>25.04.2014, не установлен</t>
  </si>
  <si>
    <t>Постановление Администрации Колпашевского района от 29.01.2013 № 51 "О порядке расходования средств межбюджетных трансфертов на выплату стипендии Губернатора Томской области молодым учителям" (в редакции от 24.01.2014 № 58, от 14.10.2016 № 1137)</t>
  </si>
  <si>
    <t>(571)</t>
  </si>
  <si>
    <t>(564) (565) (628) (663)</t>
  </si>
  <si>
    <t>01.09.2015, не установлен</t>
  </si>
  <si>
    <t>0107</t>
  </si>
  <si>
    <t>0703</t>
  </si>
  <si>
    <t>(100 303)</t>
  </si>
  <si>
    <t>(208 567)</t>
  </si>
  <si>
    <t>Закон РФ от 09.10.1992 N 3612-I "Основы законодательства Российской Федерации о культуре"</t>
  </si>
  <si>
    <t>09.10.1992, не установлен</t>
  </si>
  <si>
    <t>Федеральный закон от 04.12.2007 N 329-ФЗ "О физической культуре и спорте в Российской Федерации"</t>
  </si>
  <si>
    <t>ст.9</t>
  </si>
  <si>
    <t>30.03.2008, не установлен</t>
  </si>
  <si>
    <t>Закон Томской области от 07.06.2010 N 94-ОЗ "О физической культуре и спорте в Томской области"</t>
  </si>
  <si>
    <t>27.06.2010, не установлен</t>
  </si>
  <si>
    <t>ст.19-1</t>
  </si>
  <si>
    <t>(499 710)</t>
  </si>
  <si>
    <t>(100 308)</t>
  </si>
  <si>
    <t>(100 300)</t>
  </si>
  <si>
    <t>(100 307)</t>
  </si>
  <si>
    <t>Решение Думы Колпашевского района от 19.11.2012 № 142 "Об утверждении Положения «О звании «Почётный гражданин Колпашевского района» (в редакции от 28.03.2017 № 17)</t>
  </si>
  <si>
    <t>Решение Думы Колпашевского района от 28.03.2017 № 15 "О финансировании расходов на обеспечение условий для развития физической культуры и массового спорта на территории Колпашевского района"</t>
  </si>
  <si>
    <t>Постановление Администрации Колпашевского района от 30.12.2014 № 1636 "Об утверждении Порядка организации библиотечного обслуживания населения сельских поселений Колпашевского района, комплектования и обеспечения сохранности библиотечных фондов библиотек сельских поселений Колпашевского района"</t>
  </si>
  <si>
    <t>17.06.2013, не установлен</t>
  </si>
  <si>
    <t>14.05.2015, не установлен</t>
  </si>
  <si>
    <t>(499 711)</t>
  </si>
  <si>
    <t>(100 314)</t>
  </si>
  <si>
    <t>(100 312)</t>
  </si>
  <si>
    <t>(100 311)</t>
  </si>
  <si>
    <t>23.05.2013, не установлен</t>
  </si>
  <si>
    <t>02.05.2017-20.12.2017</t>
  </si>
  <si>
    <t>(499 712)</t>
  </si>
  <si>
    <t>(499 713)</t>
  </si>
  <si>
    <t>(100 318)</t>
  </si>
  <si>
    <t>(100 319)</t>
  </si>
  <si>
    <t>(100 317)</t>
  </si>
  <si>
    <t>(100 316)</t>
  </si>
  <si>
    <t>Решение думы Колпашевского района от 31.05.2006 № 154 "Об учреждении Управления образования Администрации Колпашевского района и утверждении Положения об Управлении образования Администрации Колпашевского района" (в редакции от 31.10.2006 № 221, от 14.02.2011 № 2, от 20.06.2011 № 58, от 30.01.2014 № 4, от 29.05.2015 № 45,от 02.11.2015 № 7, от 30.05.2017 № 40)</t>
  </si>
  <si>
    <t>(100 321)</t>
  </si>
  <si>
    <t>(499 714)</t>
  </si>
  <si>
    <t>(409 702)</t>
  </si>
  <si>
    <t>(100 322)</t>
  </si>
  <si>
    <t>Решение Думы Колпашевского района от 27.04.2017 № 28 "О финансировании расходов на организацию мероприятий, направленных на закрепление специалистов в отрасли культуры"</t>
  </si>
  <si>
    <t>27.04.2017, не установлен</t>
  </si>
  <si>
    <t>Решение думы Колпашевского района от 27.04.2017 № 27 "О финансировании за счет средств бюджета муниципального образования "Колпашевский район" расходов на поддержку и развитие Центров общественного доступа, расположенных в муниципальных учреждениях культуры муниципального образования "Колпашевский район"</t>
  </si>
  <si>
    <t>(499 715)</t>
  </si>
  <si>
    <t>(499 716)</t>
  </si>
  <si>
    <t>(100 336)</t>
  </si>
  <si>
    <t>(100 324)</t>
  </si>
  <si>
    <t>(100 326)</t>
  </si>
  <si>
    <t>(100 327)</t>
  </si>
  <si>
    <t>(100 329)</t>
  </si>
  <si>
    <t>(100 331)</t>
  </si>
  <si>
    <t>(100 332)</t>
  </si>
  <si>
    <t>(100 334)</t>
  </si>
  <si>
    <t>(100 338)</t>
  </si>
  <si>
    <t>0505</t>
  </si>
  <si>
    <t>01.01.2016- 31.12.2025</t>
  </si>
  <si>
    <t>(219 705)</t>
  </si>
  <si>
    <t>Решение Думы Колпашевского района от 27.07.2017 № 72 "О предоставлении бюджетам муниципальных образований: "Саровское сельское поселение", "Новогоренское сельское поселение", "Инкинское сельское поселение", "Новоселовское сельское поселение", иных межбюджетных трансфертов на проведение выборов депутатов представительных органов сельских поселений Колпашевского района"</t>
  </si>
  <si>
    <t>27.07.2017- 01.10.2017</t>
  </si>
  <si>
    <t>(100 341)</t>
  </si>
  <si>
    <t>(499 717)</t>
  </si>
  <si>
    <t>(499 718)</t>
  </si>
  <si>
    <t>Постановление Главы Колпашевского района от 13.09.2017 № 188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</si>
  <si>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13.09.2017- 18.12.2017</t>
  </si>
  <si>
    <t>Решение Думы Колпашевского района от 28.09.2017 № 80 "О финансировании расходов, связанных с осуществлением перевозок общественным транспортом обучающихся муниципальных общеобразовательных организаций Колпашевского района"</t>
  </si>
  <si>
    <t>28.09.2017- не установлен</t>
  </si>
  <si>
    <t>Решение Думы Колпашевского района от 17.06.2013 № 58 "О порядке использования средств бюджета муниципального образования "Колпашевский район" на финансирование мероприятий, направленных на создание условий по развитию туризма" (в редакции от 28.06.2016 № 55, от 28.09.2017 № 81)</t>
  </si>
  <si>
    <t>Решение Думы Колпашевского района от 28.09.2017 № 94 "О финансировании проведения полевых археологических работ (археологическая разведка)"</t>
  </si>
  <si>
    <t>28.09.2017, не установлен</t>
  </si>
  <si>
    <t>(499 719)</t>
  </si>
  <si>
    <t>Постановление Администрации Колпашевского района от 02.05.2017 № 398 "О порядке расходования средств субсидии из областного бюджета на реализацию мероприятия "Поддержка обустройства мест массового отдыха населения (городских парков)" подпрограммы "Обеспечение доступности и комфортности жилища, формирование качественной жилой среды" государственной программы "Обеспечение доступности жилья и улучшение качества жилищных условий населения Томской области" (в редакции от 15.05.2017 № 423, от 23.11.2017 № 1243)</t>
  </si>
  <si>
    <t>Постановление Администрации Томской области от 27.02.2008 № 32а "Об утверждении Порядка использования бюджетных ассигнований резервного фонда финансирования непредвиденных расходов Администрации Томской области"</t>
  </si>
  <si>
    <t>27.02.2008, не установлен</t>
  </si>
  <si>
    <t>Гл.3, ст.15, п.1, п.п.7</t>
  </si>
  <si>
    <t xml:space="preserve">01.09.2013, не указан </t>
  </si>
  <si>
    <t>Постановление Администрации Томской области от 24.06.2014 № 244а «О Порядке предоставления иных межбюджетных трансфертов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t>
  </si>
  <si>
    <t>24.06.2014, не установлен</t>
  </si>
  <si>
    <t>ст.40</t>
  </si>
  <si>
    <t xml:space="preserve"> 01.01.2009, не установлен</t>
  </si>
  <si>
    <t>Решение Думы Колпашевского района от 10.12.2005 № 35 "Об утверждении Положения о порядке официального опубликования (обнародования) муниципальных правовых актов и иной официальной информации" (в редакции от 27.10.2008 № 558, от 27.03.2009 № 624, от 30.01.2014 № 11, от 22.06.2015 № 62, от 28.09.2017 № 85)</t>
  </si>
  <si>
    <t>Постановление Правительства РФ от 17.12.2010 N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</si>
  <si>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01.01.2010 -31.12.2020</t>
  </si>
  <si>
    <t>01.07.2010, не установлен</t>
  </si>
  <si>
    <t>(100 313)</t>
  </si>
  <si>
    <t xml:space="preserve">Федеральный Закон от 06.10.2003 № 131-ФЗ "Об общих принципах организации местного самоуправления"
</t>
  </si>
  <si>
    <t xml:space="preserve">Ст. 15, п.1, пп.26
</t>
  </si>
  <si>
    <t xml:space="preserve">Ст. 15.1, п.1, пп.8
</t>
  </si>
  <si>
    <t>(100 305)</t>
  </si>
  <si>
    <t>(218 687)</t>
  </si>
  <si>
    <t>(213 587)</t>
  </si>
  <si>
    <t>01.01.2018, не установлен</t>
  </si>
  <si>
    <t>Решение Думы Колпашевского района от 25.11.2013 № 106 "О финансировании за счёт бюджета муниципального образования "Колпашевский район" мероприятий, направленных на поддержку решения жилищной проблемы молодых семей" (в редакции от 15.12.2014 № 157, от 30.05.2016 № 47, от 26.02.2018 № 6)</t>
  </si>
  <si>
    <t>25.11.2015, не установлен</t>
  </si>
  <si>
    <t>Постановление Администрации Колпашевского района от 30.06.2010 № 863 "Об установлении расходных обязательств  муниципального образования "Колпашевский район" по осуществлению отдельных государственных полномочий" (в редакции от 19.06.2012 № 577, от 13.02.2013 № 119)</t>
  </si>
  <si>
    <t>Постановление Администрации Колпашевского района от 20.03.2013 № 263 "О порядке расходования средств субсидии на организацию отдыха детей Колпашевского района в каникулярное время" (в редакции от 17.03.2014 № 233, от 23.05.2016 № 540, от 06.03.2018 № 177)</t>
  </si>
  <si>
    <t xml:space="preserve">1.Расходные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
</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</si>
  <si>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</si>
  <si>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1.1.1.3. владение, пользование и распоряжение имуществом, находящимся в муниципальной собственности муниципального района</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</si>
  <si>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</si>
  <si>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</si>
  <si>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</si>
  <si>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</si>
  <si>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(605)</t>
  </si>
  <si>
    <t>Наименование полномочия, 
расходного обязательства</t>
  </si>
  <si>
    <t>Правовое основание финансового обеспечения полномочия, расходного обязательства муниципального образования</t>
  </si>
  <si>
    <t>(225 655)</t>
  </si>
  <si>
    <t>(225 656)</t>
  </si>
  <si>
    <t>(206 604)</t>
  </si>
  <si>
    <t>25.03.2015, не установлен</t>
  </si>
  <si>
    <t>ст.15 п.1 пп.19</t>
  </si>
  <si>
    <t>ст.15 п.1 пп.1</t>
  </si>
  <si>
    <t>499 710</t>
  </si>
  <si>
    <t>499 713</t>
  </si>
  <si>
    <t>1201</t>
  </si>
  <si>
    <t>1206</t>
  </si>
  <si>
    <t>1307</t>
  </si>
  <si>
    <t>1034</t>
  </si>
  <si>
    <t>1021</t>
  </si>
  <si>
    <t>1202</t>
  </si>
  <si>
    <t>Постановление Администрации Колпашевского района от 16.05.2018 № 415 "О порядке использования средств муниципальной программы "Обеспечение безопасности населения Колпашевского района", предусмотренных на организацию видеонаблюдения в образовательных"</t>
  </si>
  <si>
    <t>16.05.2018- 20.12.2018</t>
  </si>
  <si>
    <t>Постановление Администрации Колпашевского района от 17.04.2018 № 343 "О порядке расходования средств субсидии из областного бюджета в 2018 году на поддержку экономического и социального развития коренных малочисленных народов Севера, Сибири и Дальнего Востока Российской Федерации"</t>
  </si>
  <si>
    <t>17.04.2018- 31.12.2018</t>
  </si>
  <si>
    <t>1023</t>
  </si>
  <si>
    <t>1026</t>
  </si>
  <si>
    <t>1801</t>
  </si>
  <si>
    <t>Постановление Главы Колпашевского района от 02.07.2018 № 120 "О порядке использования бюджетных ассигнований, выделенных бюджету муниципального образования "Колпашевский район" из резервного фонда финансирования непредвиденных расходов Администрации Томской области"</t>
  </si>
  <si>
    <t>02.07.2018- 29.12.2018</t>
  </si>
  <si>
    <t>Постановление Администрации Колпашевского района от 05.05.2012 № 425 "О порядке определения объёма и условия предоставления бюджетным и автономным учреждениям муниципального образования «Колпашевский район» субсидий на иные цели, источником финансирования которых является резервный фонд Администрации Колпашевского район"</t>
  </si>
  <si>
    <t>(100 325)</t>
  </si>
  <si>
    <t>(100 328)</t>
  </si>
  <si>
    <t>(100 337)</t>
  </si>
  <si>
    <t>(100 330)</t>
  </si>
  <si>
    <t>(414 681)</t>
  </si>
  <si>
    <t>(210 619)</t>
  </si>
  <si>
    <t>(210 620)</t>
  </si>
  <si>
    <t>(210 621)</t>
  </si>
  <si>
    <t>(203 603)</t>
  </si>
  <si>
    <t>Решение Думы Колпашевского района от 13.08.2014 № 82 "О размере,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 для лиц, работающих в органах местного самоуправления муниципального образования "Колпашевский район", в органах Администрации Колпашевского района и муниципальных учреждениях, финансируемых из бюджета муниципального образования "Колпашевский район", и о размере,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 в другую местность, за пределы Колпашевского района" (в редакции от 22.09.2014 № 89, от 27.10.2014 № 116, от 28.08.2018 № 63)</t>
  </si>
  <si>
    <t>Решение Думы Колпашевского района от 22.06.2015 № 59 "О софинансировании проектов по организации и проведению в 2015 году мероприятий, направленных на поддержку и развитие социального туризма" (в редакции решений от 25.04.2016 № 25, от 25.04.2016 № 25, от 28.08.2018 № 68)</t>
  </si>
  <si>
    <t>20.09.2018- 20.12.2018</t>
  </si>
  <si>
    <t>(100 340)</t>
  </si>
  <si>
    <t>(100 342)</t>
  </si>
  <si>
    <t>(218 596)</t>
  </si>
  <si>
    <t>18.09.2018, не установлен</t>
  </si>
  <si>
    <t>Постановление Администрации Колпашевского района от 19.09.2018 № 161 "О порядке использования бюджетных ассигнований, выделенных бюджету муниципального образования "Колпашевский район" из резервного фонда Администрации Томской области по ликвидации последствий стихийных бедствий и других чрезвычайных ситуаций"</t>
  </si>
  <si>
    <t>19.09.2018- 25.12.2018</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</si>
  <si>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пследствий черезвычайных ситуаций природного и техногенного характера на территории муниципального образования "Колпашевский район" (в редакции от 28.10.2013 № 90, от 27.06.2014 № 62, от 03.10.2018 № 98)</t>
  </si>
  <si>
    <t>12.08.2014, не установлен</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</si>
  <si>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</si>
  <si>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</si>
  <si>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1009</t>
  </si>
  <si>
    <t>1.1.1.6.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</si>
  <si>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</si>
  <si>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</si>
  <si>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1.1.1.12.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</si>
  <si>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1.1.1.13. участие в предупреждении и ликвидации последствий чрезвычайных ситуаций на территории муниципального района</t>
  </si>
  <si>
    <t>1.1.1.16. организация мероприятий межпоселенческого характера по охране окружающей среды</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</si>
  <si>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</si>
  <si>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</si>
  <si>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1.1.1.19.организация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</si>
  <si>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1022</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</si>
  <si>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</si>
  <si>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</si>
  <si>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</si>
  <si>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</si>
  <si>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1.1.1.24.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</si>
  <si>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1.1.1.27. формирование и содержание муниципального архива, включая хранение архивных фондов поселений</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</si>
  <si>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</si>
  <si>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1.1.1.33.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</si>
  <si>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1.1.1.38. осуществление мероприятий по обеспечению безопасности людей на водных объектах, охране их жизни и здоровья</t>
  </si>
  <si>
    <t>1.1.1.39. создание условий для расширения рынка сельскохозяйственной продукции, сырья и продовольствия</t>
  </si>
  <si>
    <t>1044</t>
  </si>
  <si>
    <t>1.1.1.42. содействие развитию малого и среднего предпринимательства</t>
  </si>
  <si>
    <t>1045</t>
  </si>
  <si>
    <t>1.1.1.43. оказание поддержки социально ориентированным некоммерческим организациям, благотворительной деятельности и добровольчеству</t>
  </si>
  <si>
    <t>1046</t>
  </si>
  <si>
    <t>1.1.1.44. обеспечение условий для развития на территории муниципального района физической культуры, школьного спорта и массового спорта</t>
  </si>
  <si>
    <t>1.1.1.45. организация проведения официальных физкультурно-оздоровительных и спортивных мероприятий муниципального района</t>
  </si>
  <si>
    <t>1.1.1.46.   организация и осуществление мероприятий межпоселенческого характера по работе с детьми и молодежью</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</si>
  <si>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</si>
  <si>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</si>
  <si>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</si>
  <si>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</si>
  <si>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</si>
  <si>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</si>
  <si>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1.2.6. принятие устава муниципального образования и внесение в него изменений и дополнений, издание муниципальных правовых актов</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</si>
  <si>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</si>
  <si>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</si>
  <si>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</si>
  <si>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1.2.22. формирование и использование резервных фондов администраций муниципальных образований для финансирования непредвиденных расходов</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</si>
  <si>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</si>
  <si>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1.3.3.3. дополнительные меры социальной поддержки и социальной помощи для отдельных категорий граждан</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</si>
  <si>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</si>
  <si>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1600</t>
  </si>
  <si>
    <t>1.3.4.1. оказание финансовой поддержки некоммерческим организациям</t>
  </si>
  <si>
    <t>1.3.4.2 исполнение судебных актов</t>
  </si>
  <si>
    <t>1.3.4.4. осуществление оплаты членских, целевых взносов для участия в различных Ассоциациях, межмуниципальных объединениях и организациях, некоммерческих организациях</t>
  </si>
  <si>
    <t>1.4.1. за счет субвенций, предоставленных из федерального бюджета, всего</t>
  </si>
  <si>
    <t>1703 (586)</t>
  </si>
  <si>
    <t>1.4.2. за счет субвенций, предоставленных из бюджета субъекта Российской Федерации, всего</t>
  </si>
  <si>
    <t>1.4.2.5.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</si>
  <si>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1.4.2.21.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</si>
  <si>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1821 (568)</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</si>
  <si>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</si>
  <si>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 (562)</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</si>
  <si>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</si>
  <si>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 (701)</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</si>
  <si>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</si>
  <si>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</si>
  <si>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</si>
  <si>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</si>
  <si>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1.6.1. по предоставлению дотаций на выравнивание бюджетной обеспеченности городских, сельских поселений, всего</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</si>
  <si>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</si>
  <si>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1.6.3.1. на осуществление воинского учета на территориях, на которых отсутствуют структурные подразделения военных комиссариатов</t>
  </si>
  <si>
    <t>1.6.3.2.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</si>
  <si>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1.6.4. по предоставлению иных межбюджетных трансфертов, всего</t>
  </si>
  <si>
    <t>1.6.4.2. в  иных  случаях, не связанных с    заключением   соглашений, предусмотренных в подпункте  1.6.4.1., всего</t>
  </si>
  <si>
    <t xml:space="preserve">1.6.4.2.1. владение, пользование и распоряжение имуществом, находящимся в муниципальной собственности городского и сельского поселения
</t>
  </si>
  <si>
    <t>1.6.4.2.2. организация в границах городского и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</si>
  <si>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1.6.4.2.2.1. за счет средств бюджета Колпашевского района</t>
  </si>
  <si>
    <t>1.6.4.2.2.2. за счет средств областного бюджета</t>
  </si>
  <si>
    <t>1.6.4.2.2.2.1. Иные межбюджетные трансферты на компенсацию расходов по организации электроснабжения от дизельных электростанций за счет средств субсидии</t>
  </si>
  <si>
    <t>1.6.4.2.4. дорожная деятельность в отношении автомобильных дорог местного значения в границах населенных пунктов городского и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и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</si>
  <si>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1.6.4.2.5. обеспечение проживающих в городского и сельского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</si>
  <si>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2305</t>
  </si>
  <si>
    <t>2307</t>
  </si>
  <si>
    <t>1.6.4.2.4.2. ИМБТ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t>
  </si>
  <si>
    <t>1.6.4.2.11.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</si>
  <si>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2311</t>
  </si>
  <si>
    <t>1.6.4.2.11.1 ИМБТ на организацию видионаблюдения в местах массового скопления людей</t>
  </si>
  <si>
    <t>1.6.4.2.13. участие в предупреждении и ликвидации последствий чрезвычайных ситуаций в границах городского и сельского поселения</t>
  </si>
  <si>
    <t>1.6.4.2.14. обеспечение первичных мер пожарной безопасности в границах населенных пунктов городского и сельского поселения</t>
  </si>
  <si>
    <t>1.6.4.2.15. создание условий для обеспечения жителей городского и сельского поселения услугами связи, общественного питания, торговли и бытового обслуживания</t>
  </si>
  <si>
    <t>1.6.4.2.20. обеспечение условий для развития на территории городского и сельского поселения физической культуры, школьного спорта и массового спорта</t>
  </si>
  <si>
    <t>1.6.4.2.21. организация проведения официальных физкультурно-оздоровительных и спортивных мероприятий городского и сельского поселения</t>
  </si>
  <si>
    <t>2321</t>
  </si>
  <si>
    <t>1.6.4.2.22. создание условий для массового отдыха жителей городского и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</si>
  <si>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2322 (653, 654)</t>
  </si>
  <si>
    <t>1.6.4.2.26. организация благоустройства территории городского 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</si>
  <si>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1.6.4.2.26.1. за счет местного бюджета</t>
  </si>
  <si>
    <t>1.6.4.2.26.2. за счет средств областного бюджета</t>
  </si>
  <si>
    <t>1.6.4.2.26.2.1. Субсидия из областного бюджета бюджетам муниципальных образований Томской области на поддержку муниципальных программ формирования современной городской среды (за счет средств областного бюджета)</t>
  </si>
  <si>
    <t>1.6.4.2.26.2.2. Субсидия из областного бюджета бюджетам муниципальных образований Томской области на поддержку муниципальных программ формирования современной городской среды (за счет средств федерального бюджета)</t>
  </si>
  <si>
    <t>1.6.4.2.29. утверждение генеральных планов городского и сельского поселения, правил землепользования и застройки, утверждение подготовленной на основе генеральных планов городского и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и сельского поселения, утверждение местных нормативов градостроительного проектирования городского и сельского поселений, резервирование земель и изъятие земельных участков в границах городского и сельского поселения для муниципальных нужд, осуществление муниципального земельного контроля в границах городского и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</si>
  <si>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1.6.4.2.36. содействие в развитии сельскохозяйственного производства в сфере животноводства с учетом рыболовства и рыбоводства содействие в развитии сельскохозяйственного производства в сфере растениеводства</t>
  </si>
  <si>
    <t>1.6.4.2.39. организация и осуществление мероприятий по работе с детьми и молодежью в городском поселении</t>
  </si>
  <si>
    <t>1.6.4.2.48.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</si>
  <si>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2348 (100 323)</t>
  </si>
  <si>
    <t>1.6.4.2.49. создание условий для развития туризма</t>
  </si>
  <si>
    <t>1.6.4.2.50. обеспечение сбалансированности бюджетов городских и сельских поселений</t>
  </si>
  <si>
    <t>2350</t>
  </si>
  <si>
    <t>1.6.4.2.52. исполнение судебных актов</t>
  </si>
  <si>
    <t>1.1.1.17.1. Создание условий для реализации образовательных программ дошкольного образования, присмотра и ухода</t>
  </si>
  <si>
    <t>1.1.1.17.2. МП "Обеспечение безопасности  населения Колпашевского района"</t>
  </si>
  <si>
    <t>1.1.1.17.3.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t>
  </si>
  <si>
    <t>1.1.1.18.2. компенсация расходов на питание обучающимся общеобразовательных учреждений</t>
  </si>
  <si>
    <t>1.1.2.18. организация библиотечного обслуживания населения, комплектование и обеспечение сохранности библиотечных фондов библиотек  поселения</t>
  </si>
  <si>
    <t>1.1.2.19. создание условий для организации досуга и обеспечения жителей  поселения услугами организаций культуры</t>
  </si>
  <si>
    <t>1.4.1.11. на выплату единовременного пособия при всех формах устройства детей, лишенных родительского попечения, в семью</t>
  </si>
  <si>
    <t>1712 (312 663)</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</si>
  <si>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</si>
  <si>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</si>
  <si>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2003 (309 572) (309 592)</t>
  </si>
  <si>
    <t>(310 580)</t>
  </si>
  <si>
    <t>(312 551) (323 554)</t>
  </si>
  <si>
    <t>(311 606 312 556)</t>
  </si>
  <si>
    <t>(303 558)</t>
  </si>
  <si>
    <t>(304 581)</t>
  </si>
  <si>
    <t>(313 553)</t>
  </si>
  <si>
    <t>(305 557)</t>
  </si>
  <si>
    <t>(312 562)</t>
  </si>
  <si>
    <t>Решение Думы Колпашевского района от 14.07.2006 № 180 "Об утверждении Положения о создании условий для предоставления транспортных услуг населению и организации транспортного обслуживания населению по маршрутам между поселениями в границах МО "Колпашевский район" (в редакции от 29.11.2006 № 237, от 27.04.2007 № 320, от 15.05.2008 № 477, от 08.09.2008 № 539, от 23.04.2012 № 75, от 10.09.2012 №120, от 21.12.2015 № 56, от 28.03.2017 № 56, от 28.03.2017 № 92, от 28.08.2018 № 78, от 28.11.2018 № 102)</t>
  </si>
  <si>
    <t>Постановление Администрации Колпашевского района от 10.12.2015 № 1257 "Об утверждении муниципальной программы "Обеспечение безопасности населения Колпашевского района" (в редакции от 11.07.2016 № 768, от 09.09.2016 № 1050, от 05.10.2016 № 1122, от 21.11.2016 № 1276, от 15.03.2017 № 216, от 31.01.2018 № 65, от 16.05.2018 № 414)</t>
  </si>
  <si>
    <t xml:space="preserve">ст. 9, ст. 40 </t>
  </si>
  <si>
    <t>1.1.1.18.1. Создание условий для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общеобразовательных организациях муниципального образования</t>
  </si>
  <si>
    <t>(210 598, 210 599)</t>
  </si>
  <si>
    <t>(100 345)</t>
  </si>
  <si>
    <t>(100 346)</t>
  </si>
  <si>
    <t>1.6.4.2.2.2.2. Субсидия на реализацию государственной программы "Повышение энергоэффективности в Томской области" по объекту "Газораспределительные сети г.Колпашево и с.Тогур Колпашевского района Томской области. 7 очередь"</t>
  </si>
  <si>
    <t>1.6.4.2.5.1. Иные межбюджетные трансферты на ремонт муниципального жилья</t>
  </si>
  <si>
    <t>1.6.4.2.13.1. МБТ из резервного фонда финансирования непредвиденных расходов Администрации Томской области (в соответствии с распоряжением АТО от 17.04.2018 № 242-ра)</t>
  </si>
  <si>
    <t>1.6.4.2.13.2. МБТ из резервного фонда финансирования непредвиденных расходов Администрации Томской области (в соответствии с распоряжением АТО от 11.09.2018 № 600-ра)</t>
  </si>
  <si>
    <t>2336 (100 344)</t>
  </si>
  <si>
    <t>1221</t>
  </si>
  <si>
    <t>1149</t>
  </si>
  <si>
    <t>1213</t>
  </si>
  <si>
    <t>1222</t>
  </si>
  <si>
    <t>1029</t>
  </si>
  <si>
    <t>1208</t>
  </si>
  <si>
    <t>1601</t>
  </si>
  <si>
    <t>1603</t>
  </si>
  <si>
    <t>1604</t>
  </si>
  <si>
    <t>1040</t>
  </si>
  <si>
    <t>1041</t>
  </si>
  <si>
    <t>1019</t>
  </si>
  <si>
    <t>1068</t>
  </si>
  <si>
    <t>1119</t>
  </si>
  <si>
    <t>1047</t>
  </si>
  <si>
    <t>1802</t>
  </si>
  <si>
    <t>1703</t>
  </si>
  <si>
    <t>1805</t>
  </si>
  <si>
    <t>1854</t>
  </si>
  <si>
    <t>1722</t>
  </si>
  <si>
    <t>1821</t>
  </si>
  <si>
    <t>2003</t>
  </si>
  <si>
    <t>1896</t>
  </si>
  <si>
    <t>1838</t>
  </si>
  <si>
    <t>1712</t>
  </si>
  <si>
    <t>2301</t>
  </si>
  <si>
    <t>2104</t>
  </si>
  <si>
    <t>2313</t>
  </si>
  <si>
    <t>2336</t>
  </si>
  <si>
    <t>2304</t>
  </si>
  <si>
    <t>2315</t>
  </si>
  <si>
    <t>0410</t>
  </si>
  <si>
    <t>2302</t>
  </si>
  <si>
    <t>2326</t>
  </si>
  <si>
    <t>2105</t>
  </si>
  <si>
    <t>2352</t>
  </si>
  <si>
    <t>2320</t>
  </si>
  <si>
    <t>2101</t>
  </si>
  <si>
    <t>1204</t>
  </si>
  <si>
    <t>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t>
  </si>
  <si>
    <t>ст. 20</t>
  </si>
  <si>
    <t>01.10.2011, не установлен</t>
  </si>
  <si>
    <t>Закон РФ от 19.02.1993 г. N 4520-I "О государственных гарантиях и компенсациях для лиц, работающих и проживающих в районах Крайнего Севера и приравненных к ним местностях"</t>
  </si>
  <si>
    <t>ст. 33, ст. 35</t>
  </si>
  <si>
    <t>01.06.1993, не установлен</t>
  </si>
  <si>
    <t>Закон Томской области от 14.05.2005 N 78-ОЗ "О гарантиях и компенсациях для лиц, проживающих в местностях, приравненных к районам Крайнего Севера"</t>
  </si>
  <si>
    <t>ст. 4, ст.5</t>
  </si>
  <si>
    <t>гл. 8 Положения</t>
  </si>
  <si>
    <t>1.1.1.38.1. обеспечение безопасности гидротехнических сооружений</t>
  </si>
  <si>
    <t>Федеральный закон от 21.12.1994 N 68-ФЗ "О защите населения и территорий от чрезвычайных ситуаций природного и техногенного характера"</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</si>
  <si>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чрезвычайных ситуаций природного и техногенного характера на территории муниципального образования "Колпашевский район" (в редакции от 28.10.2013 № 90, от 27.06.2014 № 62, от 03.10.2018 № 98)</t>
  </si>
  <si>
    <t>п. 3</t>
  </si>
  <si>
    <t>1.1.1.39.1. мроприятия в области сельскохозяйственного производства</t>
  </si>
  <si>
    <t xml:space="preserve">Постановление Главы Колпашевского района от 19.09.2008 № 850 "Об утверждении Положения о конкурсе "Лучший предпринимательский проект "стартующего бизнеса" в муниципальном образовании "Колпашевский район" 
(в редакции постановлений Главы Колпашевского района от 27.01.2009 № 29, от 27.08.2009 № 869, от 18.12.2009 № 1352, постановлений Администрации Колпашевского района от 21.04.2010 № 591, от 28.10.2011 № 1124, от 17.04.2012 № 367, от 06.08.2012  № 765, от 19.11.2012 № 1146, от 10.12.2012 № 1235, от 28.06.2013 № 623, от 27.09.2013 № 1027, от 05.02.2014 № 95, от 10.11.2014 № 1294, от 09.11.2015 № 1129, от 30.05.2016 № 594, от 29.11.2018 № 1292)
</t>
  </si>
  <si>
    <t>01.01.2019- 31.12.2024</t>
  </si>
  <si>
    <t>19.06.2018, не установлен</t>
  </si>
  <si>
    <t>ст. 2</t>
  </si>
  <si>
    <t>ст. 17, п.1, п.п.8.1; ст.34, п.9</t>
  </si>
  <si>
    <t xml:space="preserve">Решение Думы Колпашевского района от 18.10.2005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
 </t>
  </si>
  <si>
    <t>п. 3.2.</t>
  </si>
  <si>
    <t>ст.10</t>
  </si>
  <si>
    <t>ст.2</t>
  </si>
  <si>
    <t>Решение Думы Колпашевского района от 18.10.2005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t>
  </si>
  <si>
    <t>Гл.3, ст.17, п. 1., п.п. 8.1</t>
  </si>
  <si>
    <t>01.06.2013, не установлен</t>
  </si>
  <si>
    <t>Постановление Администрации Колпашевского района от 02.07.2013 № 625 "Об установлении расходного обязательства муниципального образования "Колпашевский район" по осуществлению отдельных государственных полномочий по Томской области по регулированию числен</t>
  </si>
  <si>
    <t>(306 555)</t>
  </si>
  <si>
    <t>(306 690)</t>
  </si>
  <si>
    <t>ст. 4</t>
  </si>
  <si>
    <t>Постановление Администрации Колпашевского района от 20.09.2018 № 1006 "О порядке использования средств межбюджетного трансферта, выделенного из бюджета Томской области по итогам проведения областного ежегодного конкурса на лучшее муниципальное образование Томской области по профилактике правонарушений" (в редакции от 24.12.2018 № 1426, от 26.12.2018 № 1448)</t>
  </si>
  <si>
    <t>Постановление Администрации Томской области от 06.09.2013 N 367а "О Порядке предоставления иных межбюджетных трансфертов на организацию системы выявления, сопровождения одаренных детей"</t>
  </si>
  <si>
    <t>06.09.2013, не установлен</t>
  </si>
  <si>
    <t>Закон Томской области от 28 декабря 2010 г. N 336-ОЗ "О предоставлении межбюджетных трансфертов"</t>
  </si>
  <si>
    <t>абз.8, п.1, ст.1</t>
  </si>
  <si>
    <t>Постановление Губернатора Томской области от 10.02.2012 N 13 "Об учреждении ежемесячной стипендии Губернатора Томской области молодым учителям областных государственных и муниципальных образовательных организаций Томской области"</t>
  </si>
  <si>
    <t>Решение Думы Колпашевского района от 18.03.2011 № 23 "Об организации проведения районных мероприятий и обеспечении участия в мероприятиях регионального, межрегионального, федерального уровней в сфере образования" (в редакции от 16.12.2011 № 167, от 17.06.2013 № 56, от 28.05.2014 № 51, от 02.11.2015 № 6, от 30.05.2016 № 41, от 24.11.2016 № 112, от 16.02.2017 № 3)</t>
  </si>
  <si>
    <t xml:space="preserve"> ст. 9, ст. 40</t>
  </si>
  <si>
    <t>Решение Думы Колпашевского района от 15.12.2014 № 136 "О финансировании за счёт средств бюджета муниципального образования "Колпашевский район" мероприятий по содержанию комплекса спортивных сооружений муниципального автономного образовательного учреждения дополнительного образования детей "Детско-юношеская спортивная школа имени О. Рахматулиной"</t>
  </si>
  <si>
    <t>Федеральный Закон от 29.12.2012 № 273-ФЗ "Об образовании в РФ"</t>
  </si>
  <si>
    <t>Гл. 12, ст. 89, п. 3</t>
  </si>
  <si>
    <t>Решение Думы Колпашевского района от 15.12.2014 № 135 "О финансировании за счёт средств бюджета муниципального образования "Колпашевский район" мер социальной поддержки в виде компенсации расходов по оплате стоимости проезда к месту учебы и обратно для гражданина, заключившего договор о целевом обучении с муниципальной образовательной организацией Колпашевского района" (в редакции от 31.07.2015 № 68, от 28.08.2018 № 67)</t>
  </si>
  <si>
    <t>ст. 4, п. 5</t>
  </si>
  <si>
    <t>ст.2, ст.4</t>
  </si>
  <si>
    <t>1.1.1.18.3. организация системы выявления, сопровождения одаренных детей</t>
  </si>
  <si>
    <t>1.1.1.18.4. стипендии Губернатора Томской области лучшим учителям МОУ Томской области</t>
  </si>
  <si>
    <t>1.1.1.18.5. стипендии Губернатора Томской области молодым учителям МОУ Томской области</t>
  </si>
  <si>
    <t xml:space="preserve">1.1.1.19.1. Создание условий для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общеобразовательных организациях муниципального образования </t>
  </si>
  <si>
    <t>1.1.1.19.2. компенсация расходов на питание обучающимся общеобразовательных учреждений</t>
  </si>
  <si>
    <t>1.1.1.19.3. стипендии Губернатора Томской области молодым учителям МОУ Томской области</t>
  </si>
  <si>
    <t>1.1.1.20.1. организация предоставления дополнительного образования на территории муниципального района</t>
  </si>
  <si>
    <t>1.1.1.20.2. стимулирующие выплаты работникам организаций дополнительного образования</t>
  </si>
  <si>
    <t>1.1.1.20.3. повышение заработной платы педагогических работников муниципальных учреждений дополнительного образования детей</t>
  </si>
  <si>
    <t>1.1.1.32.1. обеспечение деятельности учреждений культуры и мероприятия в области культуры</t>
  </si>
  <si>
    <t>1.1.1.32.2. субсидии местным бюджетам на 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муниципальных учреждений  культуры и муниципальных учреждений в сфере архивного дела"</t>
  </si>
  <si>
    <t>1.1.1.32.3. субсидии местным бюджетам на оплату труда руководителям и специалистам муниципальных учреждений культуры и искусства, в части выплаты надбавок и доплат к тарифной ставке (должностному окладу)</t>
  </si>
  <si>
    <t>1.1.1.44.1. обеспечение условий для развитие физической культуры  и массового спорта</t>
  </si>
  <si>
    <t>1.1.1.44.3. субсидиии местным бюджетам на обеспечение условий для развития физической культуры и массового спорта</t>
  </si>
  <si>
    <t>1.6.4.2.11.2. Иные межбюджетные трансферты на проведение областного ежегодного конкурса на лучшее муниципальное образование Томской области по профилактике правонарушений</t>
  </si>
  <si>
    <t>1.6.4.2.20.1. субсидии местным бюджетам на обеспечение условий для развития физической культуры и массового спорта</t>
  </si>
  <si>
    <t>Закон Томской области от 13.06.2007 № 112-ОЗ "О реализации государственной политики в сфере культуры и искусства на территории Томской области"</t>
  </si>
  <si>
    <t>п.п.6 п.5 Порядка</t>
  </si>
  <si>
    <t>Постановление Администрации Колпашевского района от 21.03.2016 № 278 "Об утверждении муниципальной программы "Развитие культуры и туризма в Колпашевском районе" (в редакции от 04.04.2016 № 336, от 01.06.2016 № 610, от 04.10.2016 № 1112, от 15.11.2016 № 1253, от 14.12.2016 № 1361, от 30.12.2016 № 1448, от 10.03.2017 № 192, от 29.12.2017 № 1381, от 18.05.2018 № 431)</t>
  </si>
  <si>
    <t>Гл.3, ст.15, п.1,  п.п. 19</t>
  </si>
  <si>
    <t>Федеральный закон от 29 декабря 1994 г. N 78-ФЗ "О библиотечном деле"</t>
  </si>
  <si>
    <t>ст. 15, п. 2</t>
  </si>
  <si>
    <t>ст.24</t>
  </si>
  <si>
    <t>09.10.1997, не установлен</t>
  </si>
  <si>
    <t>Закон Томской области от 09.10.1997 "О библиотечном деле и обязательном экземпляре документов в Томской области"</t>
  </si>
  <si>
    <t>ст.15 п.1 пп.19.1</t>
  </si>
  <si>
    <t>прил.1 к особенностям</t>
  </si>
  <si>
    <t>ст. 5</t>
  </si>
  <si>
    <t>п. 1 абз. 3</t>
  </si>
  <si>
    <t>Постановление Администрации Колпашевского района от 29.06.2010 № 846 "Об установлении расходных обязательств по осуществлению отдельных государственных полномочий по регулированию тарифов на перевозки пассажиров и багажа всеми видами общественного траснпорта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(в редакции от 14.01.2016 № 9)</t>
  </si>
  <si>
    <t xml:space="preserve">Закон Томской области от 13.08.2007 N 170-ОЗ "О межбюджетных отношениях в Томской области" </t>
  </si>
  <si>
    <t>ст. 8,  п. 2, п.п. 1</t>
  </si>
  <si>
    <t>Постановление Администрации Колпашевского района от 24.09.2012 № 942 "О порядке расходования средств межбюджетных трансфертов на выплату стипендии Губернатора Томской области лучшим учителям муниципальных образовательных учреждений Томской области, перечисленных в бюджет муниципального образования "Колпашевский район" в соответствии с постановлением Администрации Томской области от 20.08.2012 № 316 а" (в редакции от 20.03.2013 № 262, от 05.10.2016 № 1121)</t>
  </si>
  <si>
    <t>Постановление Администрации Колпашевского района от 10.12.2015 № 1257 "Об утверждении муниципальной программы "Обеспечение безопасности населения Колпашевского района" (в редакции от 11.07.2016 № 768, от 09.09.2016 № 1050, от 05.10.2016 № 1122, от 21.11.2016 № 1276, от 15.03.2017 № 216, от 31.01.2018 № 65, от 16.05.2018 № 414 )</t>
  </si>
  <si>
    <t>(100 304)</t>
  </si>
  <si>
    <t>(201 579)</t>
  </si>
  <si>
    <t>1027</t>
  </si>
  <si>
    <t>2103</t>
  </si>
  <si>
    <t>2329</t>
  </si>
  <si>
    <t>1725</t>
  </si>
  <si>
    <t>(224 545)</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</si>
  <si>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</si>
  <si>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 (213 542)</t>
  </si>
  <si>
    <t>(208 543)</t>
  </si>
  <si>
    <t>30.01.2019- 15.03.2019</t>
  </si>
  <si>
    <t>06.02.2019- 20.12.2019</t>
  </si>
  <si>
    <t>Решение Думы Колпашевского районат от 06.02.2019 № 4 "О предоставлении иных межбюджетных трансфертов бюджету муниципального образования "Колпашевское городское поселение" на выполнение мероприятий по благоустройству населенных пунктов"</t>
  </si>
  <si>
    <t>Решение думы Колпашевского района от 06.02.2019 № 6 "О предоставлении иных межбюджетных трансфертов бюджету муниципального образования "Чажемтовское сельское поселение" на выполнение работ по координатному описанию границ населенных пунктов Чажемтовского сельского поселения"</t>
  </si>
  <si>
    <t>06.02.2019- 23.12.2019</t>
  </si>
  <si>
    <t>Решение думы Колпашевского района от 06.02.2019 № 9 "О предоставлении иных межбюджетных трансфертов бюджету муниципального образования "Новоселовское сельское поселение" на выполнение работ по координатному описанию границ населенных пунктов Новоселовского сельского поселения"</t>
  </si>
  <si>
    <t>(206 546, 206 547)</t>
  </si>
  <si>
    <t>(100 310)</t>
  </si>
  <si>
    <t>1.6.4.2.4.3. Субсидия из областного бюджета на выполнение полномочий органов местного самоуправления по осуществлению дорожной деятельности в части капитального ремонта и (или) ремонта автомобильных дорог общего пользования местного значения в границах муниципального образования (в том числе на обустройство пешеходных переходов в соответствии с национальными стандартами и ремонт пешеходных дорожек) в рамках государственной программы "Развитие транспортной системы в Томской области"</t>
  </si>
  <si>
    <t>(499 801) (802)</t>
  </si>
  <si>
    <t>Постановление Главы Колпашевского района от 19.02.2019 № 32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04.02.2019 № 8-р-в)</t>
  </si>
  <si>
    <t>19.02.2019- 01.12.2019</t>
  </si>
  <si>
    <t>Постановление Главы Колпашевского района от 25.02.2019 № 37 "О порядке расходования бюджетных ассигнований резервного фонда финансирования непредвиденных расходов Администрации Томской области"</t>
  </si>
  <si>
    <t>25.02.2019- 31.12.2019</t>
  </si>
  <si>
    <t>Решение Думы Колпашевского района от 28.06.2016 № 59 "Об утверждении Положения о порядке финансирования расходов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муниципальных общеобразовательных организациях муниципального образования "Колпашевский район" за счёт средств бюджета муниципального образования "Колпашевский район" (в редакции от 19.12.2016 № 125, от 28.02.2019)</t>
  </si>
  <si>
    <t>Решение Думы Колпашевского района от 28.06.2016 № 59 "Об утверждении Положения о порядке финансирования расходов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муниципальных общеобразовательных организациях муниципального образования "Колпашевский район" за счёт средств бюджета муниципального образования "Колпашевский район" (в редакции от 19.12.2016 № 125, от 28.02.2019 № 18)</t>
  </si>
  <si>
    <t>Решение Думы Колпашевского района от 28.02.2019 № 19 "О мерах по реализации постановления Администрации Томской области от 24 октября 2018 г. N 415а "Об утверждении Методики определения размера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 и определении нормативов расходов на обеспечение государственных гарантий реализации прав"</t>
  </si>
  <si>
    <t>01.01.2019, не установлен</t>
  </si>
  <si>
    <t>28.02.2019- 23.12.2019</t>
  </si>
  <si>
    <t>Решение Думы Колпашевского района от 28.02.2019 № 21 "О предоставлении иных межбюджетных трансфертов бюджету муниципального образования "Колпашевское городское поселение" на строительство объекта: "Газораспределительные сети г.Колпашево и с.Тогур Колпашевского района Томской области, 7 очередь"</t>
  </si>
  <si>
    <t>28.02.2019- 22.12.2019</t>
  </si>
  <si>
    <t>Решение Думы Колпашевского района от 28.02.2019 № 22 "О предоставлении иных межбюджетных трансфертов бюджету муниципального образования "Колпашевское городское поселение" на выполнение работ по разработке дизайн-проектов общественных территорий"</t>
  </si>
  <si>
    <t>28.02.2019- 01.12.2019</t>
  </si>
  <si>
    <t>Постановление Главы Колпашевского района от 25.03.2019 № 54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</si>
  <si>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(215 541)</t>
  </si>
  <si>
    <t>(209 533)</t>
  </si>
  <si>
    <t>1.1.1.18.7. Субсидия из бюджета Томской области бюджету муниципального образования "Колпашевский район"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</si>
  <si>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(209 530)</t>
  </si>
  <si>
    <t>(209 531)</t>
  </si>
  <si>
    <t>(209 532)</t>
  </si>
  <si>
    <t>1.1.1.18.6. Субсидия из бюджета Томской области бюджету муниципального образования "Колпашевский район" на обновление материально-технической базы для формирования у обучающихся современных технологических и гуманитарных навыков</t>
  </si>
  <si>
    <t>(215 538)</t>
  </si>
  <si>
    <t>(215 537)</t>
  </si>
  <si>
    <t>499 712</t>
  </si>
  <si>
    <t>(206 536)</t>
  </si>
  <si>
    <t>(206 548)</t>
  </si>
  <si>
    <t>(206 534)</t>
  </si>
  <si>
    <t>(206 535)</t>
  </si>
  <si>
    <t>(206 546)</t>
  </si>
  <si>
    <t>(206 547)</t>
  </si>
  <si>
    <t>1.4.2.98.на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</si>
  <si>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(309 701)</t>
  </si>
  <si>
    <t>1898 (309 572)</t>
  </si>
  <si>
    <t>1828 (312 552)</t>
  </si>
  <si>
    <t>1.6.4.2.2.2.3. Субсидия из областного бюджета на реализацию мероприятий подпрограммы "Развитие и модернизация коммунальной инфраструктуры Томской области" государственной программы "Развитие коммунальной и коммуникационной инфраструктуры в Томской области" по проведению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</si>
  <si>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1.6.4.2.26.2.3. МБТ из резервного фонда финансирования непредвиденных расходов Администрации Томской области (в соответствии с распоряжением АТО от 01.03.2019 № 43- р-в)</t>
  </si>
  <si>
    <t>1.6.4.2.15.2. Субсидия на реализацию проекта "Обустройство сквера с детской игровой площадкой в с. Тогур, Колпашевского района, Томской области" в рамках государственной программы "Развитие сельского хозяйства и регулируемых рынков в Томской области"</t>
  </si>
  <si>
    <t>1898</t>
  </si>
  <si>
    <t>1828</t>
  </si>
  <si>
    <t>2317</t>
  </si>
  <si>
    <t>1.1.1.19.4. стипендии Губернатора Томской области лучшим учителям МОУ Томской области</t>
  </si>
  <si>
    <t>1.1.1.19.5. Субсидия из бюджета Томской области бюджету муниципального образования "Колпашевский район" на обновление материально-технической базы для формирования у обучающихся современных технологических и гуманитарных навыков</t>
  </si>
  <si>
    <t>1.1.1.19.6. Субсидия из бюджета Томской области бюджету муниципального образования "Колпашевский район" на внедрение целевой модели цифровой образовательной среды в общеобразовательных организациях и профессиональных образовательных организациях</t>
  </si>
  <si>
    <t>1.1.1.19.7. МП "Обеспечение безопасности  населения Колпашевского района"</t>
  </si>
  <si>
    <t>1.1.1.19.8. МП "Развитие муниципальной системы образования в Колпашевском районе"</t>
  </si>
  <si>
    <t>1.1.1.19.9. Субсидия на разработку проектно- сметной документации на строительство муниципальных общеобразовательных организаций в рамках государственной программы "Содействие созданию в Томской области новых мест в общеобразовательных организациях"</t>
  </si>
  <si>
    <t>1.6.4.2.17. создание условий для организации досуга и обеспечения жителей городского и сельского поселения услугами организаций культуры</t>
  </si>
  <si>
    <t>26.03.2019- 01.12.2019</t>
  </si>
  <si>
    <t>Постановление Главы Колпашевского района от 04.04.2019 № 62 "О порядке расходования средств бюджетных ассигнований резервного фонда финансирования непредвиденных расходов Администрации Томской области на выполнение работ по ремонту детских игровых площадок и на приобретение детской спортивно-игровой площадки для установки по адресу: г. Колпашево, мкр Геолог, д.4"</t>
  </si>
  <si>
    <t>04.04.2019- 24.12.2019</t>
  </si>
  <si>
    <t>Постановление Администрации Колпашевского района от 11.04.2019 № 356 "О распределении средств иных межбюджетных трансфертов на поощрение поселенческих команд, участвовавших в XII зимней межпоселенческой спартакиаде в с. Инкино, из бюджета муниципального образования "Колпашевский район" в 2019 году"</t>
  </si>
  <si>
    <t>11.04.2019- 23.08.2019</t>
  </si>
  <si>
    <t>13.12.2013- 31.12.2019</t>
  </si>
  <si>
    <t>Решение Думы Колпашевского района от 27.11.2015 № 37 "О финансировании расходов  на создание условий, обеспечивающих приток педагогических кадров в муниципальную систему образования Колпашевского района" (в редакции от 31.05.2018 № 34, от 28.08.2018 № 65, от 24.04.2019 № 38)</t>
  </si>
  <si>
    <t>Решение Думы Колпашевского района от 24.04.2019 № 43 "О предоставлении иных межбюджетных трансфертов бюджету муниципального образования "Новоселовское сельское поселение" на выполнение мероприятий по благоустройству населенных пунктов"</t>
  </si>
  <si>
    <t>24.04.2019- 30.08.2019</t>
  </si>
  <si>
    <t>Решение Думы Колпашевского района от 28.02.2019 "О предоставлении иных межбюджетных трансфертов бюджету муниципального образования "Колпашевское городское поселение" на благоустройство общественных территорий" (в редакции от 24.04.2019 № 45)</t>
  </si>
  <si>
    <t>24.04.2019- 20.12.2019</t>
  </si>
  <si>
    <t>29.04.2019- 28.11.2019</t>
  </si>
  <si>
    <t>Постановление Администрации Колпашевского района от 29.04.2019 № 430 "О порядке использования средств субсидии из областного бюджета на обеспечение жителей отдаленных населенных пунктов Томской области услугами связи в рамках государственной программы "Развитие коммунальной и коммуникационной инфраструктуры в Томской области"</t>
  </si>
  <si>
    <t>Постановление Администрации Колпашевского района от 30.01.2019 № 69 "О предоставлении иных межбюджетных трансфертов бюджету муниципального образования "Инкинское сельское поселение" на подготовку спортивных сооружений к проведению межпоселенческой спартакиады в с. Инкино" (в редакции от 14.05.2019 № 464)</t>
  </si>
  <si>
    <t>17.05.2019- 31.12.2019</t>
  </si>
  <si>
    <t>23.05.2019- 31.12.2019</t>
  </si>
  <si>
    <t>Постановление Администрации Колпашевского района от 23.05.2019 № 519 "О порядке расходования средств субсидии из бюджета Томской области на обновление материально-технической базы для формирования у обучающихся современных технологических и гуманитарных навыков"</t>
  </si>
  <si>
    <t>Постановление Администрации Колпашевского района от 24.05.2019 № 536 "О порядке расходования средств субсидии из областного бюджета на реализацию государственной программы "Повышение энергоэффективности в Томской области" по объекту "Газораспределительные сети г.Колпашево и с.Тогур Колпашевского района Томской области. 7 очередь"</t>
  </si>
  <si>
    <t>24.05.2019- 31.12.2019</t>
  </si>
  <si>
    <t>Постановление Администрации Колпашевского района от 23.05.2019 № 520 "О порядке расходования средств субсидии местным бюджетам на софинансирование капитальных вложений в объекты муниципальной собственности в сфере обращения с твёрдыми коммунальными отходами в рамках государственной программы "Воспроизводство и использование природных ресурсов Томской области" (в редакции от 24.05.2019 № 539)</t>
  </si>
  <si>
    <t>Постановление Администрации Колпашевского района от 24.05.2013 № 488 "О порядке расходования средств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учреждений" (в редакции от 18.09.2014 № 972, от 23.06.2015 № 605, от 16.09.2015 № 944, от 21.12.2015 № 1343, от 04.03.2016 № 231, от 28.03.2016 № 318, от 27.04.2017 № 370, от 18.06.2018 № 538, от 29.05.2019 № 556)</t>
  </si>
  <si>
    <t>Постановление Админи страции Колпашевского района от 17.05.2019 № 82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09.04.2019 № 88-р-в)</t>
  </si>
  <si>
    <t>Постановление главы Колпашевского района от 26.03.2019 № 56 "О порядке расходования средств бюджетных ассигнований резервного фонда финансирования непредвиденных расходов Администрации Томской области" (в соответствии с распоряжением АТО от 01.03.2019 № 43- р-в)</t>
  </si>
  <si>
    <t>Постановление Главы Колпашевского района от 07.05.2019 № 75 "О порядке расходования бюджетных ассигнований резервного фонда финансирования непредвиденных расходов Администрации Томской области" (в соответствии с распоряжением АТО от 09.04.2019 № 88-р-в)</t>
  </si>
  <si>
    <t>07.05.2019- 31.12.2019</t>
  </si>
  <si>
    <t>Постановление Главы Колпашевского района от 21.03.2019 № 52 "О порядке расходования бюджетных ассигнований резервного фонда финансирования непредвиденных расходов Администрации Томской области" (в соответствии с распоряжением АТО от 01.03.2019 № 43-р-в)</t>
  </si>
  <si>
    <t>21.03.2019- 31.12.2019</t>
  </si>
  <si>
    <t>(221 521)</t>
  </si>
  <si>
    <t>(410 539)</t>
  </si>
  <si>
    <t>1.6.4.2.31. организация ритуальных услуг и содержание мест захоронения</t>
  </si>
  <si>
    <t>2331</t>
  </si>
  <si>
    <t>(221 520)</t>
  </si>
  <si>
    <t>(221 522)</t>
  </si>
  <si>
    <t>(100 343) (100 315)</t>
  </si>
  <si>
    <t>31.05.2019- 01.12.2019</t>
  </si>
  <si>
    <t>Постановление Главы Колпашевского района от 31.05.2019 № 87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07.05.2019 № 124-р-в)</t>
  </si>
  <si>
    <t>Решение Думы Колпашевского района от 03.06.2019 № 54 "О предоставлении иных межбюджетных трансфертов бюджету муниципального образования "Инкинское сельское поселение" на ремонт оборудования котельной с.Копыловка"</t>
  </si>
  <si>
    <t>03.06.2019- 20.12.2019</t>
  </si>
  <si>
    <t>Решение Думы Колпашевского района от 03.06.2019 № 56 "О предоставлении иных межбюджетных трансфертов бюджету муниципального образования "Колпашевское городское поселение" на ремонт ограждения станции обезжелезивания по адресу: г.Колпашево, ул.Кирова, 114"</t>
  </si>
  <si>
    <t>Решение Думы Колпашевского района от 03.06.2019 № 57 "О предоставлении иных межбюджетных трансфертов бюджету муниципального образования "Колпашевское городское поселение" на организацию транспортного обслуживания населения внутренним водным транспортом в 2019 году"</t>
  </si>
  <si>
    <t>03.06.2019- 12.12.2019</t>
  </si>
  <si>
    <t>24.04.2019- 21.11.2019</t>
  </si>
  <si>
    <t>Постановление Главы Колпашевского района от 04.06.2019 № 89 "О порядке расходования средств бюджетных ассигнований резервного фонда финансирования непредвиденных расходов Администрации Томской области на модернизацию уличного освещения, приобретение материалов для ограждения кладбища в п. Большая Саровка"</t>
  </si>
  <si>
    <t>04.06.2019- 24.12.2019</t>
  </si>
  <si>
    <t>Постановление Администрации Колпашевского района от 17.06.2019 № 644 "О порядке расходования средств субсидий местным бюджетам из областного бюджета для оказания поддержки муниципальных программ развития малого и среднего предпринимательства"</t>
  </si>
  <si>
    <t>17.06.2019- 31.12.2019</t>
  </si>
  <si>
    <t>21.06.2019- 20.12.2019</t>
  </si>
  <si>
    <t>Постановление главы Колпашевского района от 03.06.2019 № 88 "О порядке расходования бюджетных ассигнований резервного фонда финансирования непредвиденных расходов Администрации Томской области" (распоряжение АТО от 07.05.2019 № 124-р-в)</t>
  </si>
  <si>
    <t>03.06.2019- 16.09.2019</t>
  </si>
  <si>
    <t>05.06.2019- 20.12.2019</t>
  </si>
  <si>
    <t>Постановление Администрации Колпашевского района от 13.06.2019 № 637 "О порядке расходования средств иного межбюджетного трансферта на создание виртуальных концертных залов по результатам конкурсного отбора, проводимого Министерством культуры Российской Федерации"</t>
  </si>
  <si>
    <t>13.06.2019- 31.12.2019</t>
  </si>
  <si>
    <t>Постановление Администрации Колпашевского района от 17.06.2019 № 641 "О порядке использования средств субсидии из областного бюджета на организацию транспортного обслуживания населения Колпашевского района внутренним водным транспортом в границах муниципального района, в рамках подпрограммы "Развитие пассажирских перевозок на территории Томской области" государственной программы "Развитие транспортной системы в Томской области"</t>
  </si>
  <si>
    <t>17.06.2019- 12.12.2019</t>
  </si>
  <si>
    <t>Постановление Администрации Колпашевского района от 25.06.2019 № 673 "О порядке расходования средств субсидии из областного бюджета бюджетам муниципальных образований Томской области на мероприятия по улучшению жилищных условий граждан, проживающих в сельской местности, в том числе молодых семей и молодых специалистов, осуществляемые в сельской местности, в которой реализуются инвестиционные проекты в сфере агропромышленного комплекса"</t>
  </si>
  <si>
    <t>(217 801)</t>
  </si>
  <si>
    <t>1.1.1.18.8. Субсидия на внедрение и функционирование целевой модели цифровой образовательной среды в общеобразовательных организациях</t>
  </si>
  <si>
    <t>(209 524)</t>
  </si>
  <si>
    <t>1.1.1.19.10. Субсидия на внедрение и функционирование целевой модели цифровой образовательной среды в общеобразовательных организациях</t>
  </si>
  <si>
    <t>1.1.1.20.6. Субсидия на внедрение целевой модели развития региональных систем дополнительного образования детей</t>
  </si>
  <si>
    <t>(209 523)</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</si>
  <si>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</si>
  <si>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1.6.4.2.18. сохранение, использование и популяризация объектов культурного наследия (памятников истории и культуры), находящихся в собственности городского 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и сельского поселения</t>
  </si>
  <si>
    <t>2318</t>
  </si>
  <si>
    <t>(208 526)</t>
  </si>
  <si>
    <t>(208 525)</t>
  </si>
  <si>
    <t>(208 591) (208 527)</t>
  </si>
  <si>
    <t>(100 333)</t>
  </si>
  <si>
    <t>(Д)</t>
  </si>
  <si>
    <t>(соф)</t>
  </si>
  <si>
    <t>03.07.2019- 02.09.2019</t>
  </si>
  <si>
    <t>31.07.2019, не установлен</t>
  </si>
  <si>
    <t>Решение Думы Колпашевского района от 31.07.2015 № 69 "О размере, условиях и порядке предоставления компенсации расходов, связанных с переездом, лицам, заключившим трудовые договоры о работе в органах местного самоуправления муниципального образования «Колпашевский район», муниципальных учреждениях, финансируемых из бюджета муниципального образования «Колпашевский  район», и прибывшим в соответствии с этими договорами из других регионов Российской Федерации" (в редакции от 04.07.2019 № 63)</t>
  </si>
  <si>
    <t>Решение Думы Колпашевского района от 04.07.2019 № 64 "О предоставлении иных межбюджетных трансфертов на проведение ремонта, капитального ремонта и благоустройства воинских захоронений, мемориальных комплексов, памятников воинам, погибшим в годы Великой Отечественной войны 1941-1945 годов"</t>
  </si>
  <si>
    <t xml:space="preserve">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решений Думы Колпашевского района от 23.08.2010 № 914, от 24.12.2010 № 32, от 18.03.2011 № 21, от 23.04.2012 № 48, от 24.05.2012 № 85, от 16.07.2012 № 95, от 19.12.2012 № 151, от 29.04.2013 № 33, от 25.11.2013 № 102, от 17.03.2014 № 18, от 27.10.2014 № 117, от 26.01.2015 № 7, от 24.08.2016 № 84, от 24.11.2016 № 114, от 26.02.20108 № 13, от 29.03.2018 № 21, от 27.03.2019 № 34, от 04.07.2019 № 67)
</t>
  </si>
  <si>
    <t>Решение Думы Колпашевского района от 04.07.2019 № 68 "О предоставлении иных межбюджетных трансфертов бюджету муниципального образования "Новогоренское сельское поселение" на выполнение комплекса кадастровых работ по выделу земельной доли, находящейся в собственности муниципального образования "Новогоренское сельское поселение" в границах САО "Петропавловское"</t>
  </si>
  <si>
    <t>04.07.2019- 20.12.2019</t>
  </si>
  <si>
    <t>Решение Думы Колпашевского района от 04.07.2019 № 69 "О предоставлении иных межбюджетных трансфертов бюджету муниципального образования "Новогоренское сельское поселение" на выполнение комплекса кадастровых работ по образованию и межеванию границ земельного участка для размещения кладбища"</t>
  </si>
  <si>
    <t>Решение Думы Колпашевского района от 04.07.2019 № 73 "О предоставлении иных межбюджетных трансфертов бюджету муниципального образования "Колпашевское городское поселение" на обустройство площадок для временного накопления твердых коммунальных отходов"</t>
  </si>
  <si>
    <t>1.6.4.2.24. участие в организации деятельности по сбору (в том числе раздельному сбору) и транспортированию твердых коммунальных отходов</t>
  </si>
  <si>
    <t>Решение Думы Колпашевского района от 04.07.2019 № 74 "О предоставлении иных межбюджетных трансфертов бюджету муниципального образования "Саровское сельское поселение" на организацию водоснабжения в с.Новоильинка"</t>
  </si>
  <si>
    <t>Решение Думы Колпашевского района от 04.07.2019 № 75 "О предоставлении иных межбюджетных трансфертов бюджету муниципального образования "Новогоренское сельское поселение" на проектирование зоны санитарной охраны источника водоснабжения"</t>
  </si>
  <si>
    <t>Решение Думы Колпашевского района от 04.07.2019 № 77 "О предоставлении иных межбюджетных трансфертов бюджету муниципального образования "Новоселовское сельское поселение" на ремонт оборудования котельной в п.Дальнее"</t>
  </si>
  <si>
    <t>Решение Думы Колпашевского района от 04.07.2019 № 78 "О предоставлении иных межбюджетных трансфертов бюджету муниципального образования "Новоселовское сельское поселение" на организацию уличного освещения"</t>
  </si>
  <si>
    <t>04.07.2019- 20.12.2020</t>
  </si>
  <si>
    <t>Решение Думы Колпашевского района от 04.07.2019 № 79 "О предоставлении иных межбюджетных трансфертов бюджету муниципального образования "Колпашевское городское поселение" на выполнение мероприятий по благоустройству населенных пунктов"</t>
  </si>
  <si>
    <t>Решение Думы Колпашевского района от 04.07.2019 № 81 "О предоставлении иных межбюджетных трансфертов бюджету муниципального образования "Колпашевское городское поселение" на грантовую поддержку местных инициатив граждан, проживающих в сельской местности"</t>
  </si>
  <si>
    <t>Постановление Администрации Колпашевского района от 21.06.2019 № 668 "О порядке расходования средств субсидии на софинансирование расходных обязательств по решению вопросов местного значения, возникающих в связи с реализацией проектов, предложенных непосредственно населением Инкинского сельского поселения, входящего в состав Колпашевского района Томской области, победившего в конкурсном отборе" (в редакции от 10.07.2019 № 738)</t>
  </si>
  <si>
    <t>Постановление Администрации Колпашевского района от 21.06.2019 № 669 "О порядке расходования средств субсидии на софинансирование расходных обязательств по решению вопросов местного значения, возникающих в связи с реализацией проектов, предложенных непосредственно населением Колпашевского городского поселения, входящего в состав Колпашевского района Томской области, победившего в конкурсном отборе" (в редакции от 10.07.2019 № 739)</t>
  </si>
  <si>
    <t>15.07.2019- 31.12.2019</t>
  </si>
  <si>
    <t>Постановление Администрации Колпашевского района от 16.07.2019 № 757 "О порядке расходования средств субсидии на софинансирование расходных обязательств по решению вопросов местного значения, возникающих в связи с реализацией проектов, предложенных непосредственно населением Инкинского сельского поселения, входящего в состав Колпашевского района Томской области, победившего в конкурсном отборе"</t>
  </si>
  <si>
    <t>16.07.2019- 20.12.2019</t>
  </si>
  <si>
    <t>Постановление Администрации Колпашевского района от 16.07.2019 № 758 "О порядке расходования средств субсидии на оснащение объектов спортивной инфраструктуры спортивно-технологическим оборудованием"</t>
  </si>
  <si>
    <t>16.07.2019- 31.12.2019</t>
  </si>
  <si>
    <t>Постановление Администрации Колпашевского района от 22.11.2018 № 1261 "Об утверждении Порядка организации регулярных перевозок автомобильным транспортом в границах одного сельского поселения, в границах двух и более поселений муниципального образования "Колпашевский район"</t>
  </si>
  <si>
    <t>22.11.2018, не установлен</t>
  </si>
  <si>
    <t>Постановление Администрации Колпашевского района от 18.07.2019 № 772 "Об утверждении Положения об организации отдыха детей в каникулярное время на территории муниципального образования "Колпашевский район"</t>
  </si>
  <si>
    <t>раздел IV Положения</t>
  </si>
  <si>
    <t>18.07.2019, не установлен</t>
  </si>
  <si>
    <t>Постановление Администрации Колпашевского района от  26.07.2019 № 812 "Об утверждении Положения о порядке предоставления субсидии на возмещение затрат, связанных с приобретением специализированной техники для транспортирования твёрдых коммунальных отходов в границах муниципального образования "Колпашевский район"</t>
  </si>
  <si>
    <t>26.07.2019- 31.12.2019</t>
  </si>
  <si>
    <t>Постановление Администрации Колпашевского района от 06.08.2019 № 861 "О порядке расходования средств субсидии на грантовую поддержку местных инициатив граждан, проживающих в сельской местности"</t>
  </si>
  <si>
    <t>06.08.2019- 20.12.2019</t>
  </si>
  <si>
    <t>Постановление Администрации Колпашевского района от 06.08.2019 № 862 "О порядке расходования средств субсидии на грантовую поддержку местных инициатив граждан, проживающих в сельской местности"</t>
  </si>
  <si>
    <t>Постановление Администрации Колпашевского района от 30.06.2010 № 851 "Об установлении расходных обязательств по осуществлению отдельных государственных полномочий, переданных в соответствие с п.5 ст.1 Закона Томской области от 15.12.2004 № 246-ОЗ" (в редакции от 13.03.2014 № 221, от 14.08.2019 № 928)</t>
  </si>
  <si>
    <t>Постановление Администрации Колпашевского района от 23.05.2012 № 496 "Об утверждении Порядка финансирования официальных физкультурно-оздоровительных и спортивных мероприятий муниципального образования "Колпашевский район" (в редакции постановлений Администрации Колпашевского района от 23.07.2012 № 702, от 31.08.2012 № 859, от 28.03.2013 № 292, от 03.07.2013 № 632, от 18.07.2013 № 711, от 23.08.2013 № 866, от 16.09. 2013 № 974, от 25.10.2013 № 1138, от 06.02.2014 №104, от 23.06.2014 № 585; от 06.10.2014 № 1145; от 04.03.2015 № 268; от 14.04.2015 № 407, от 12.11.2015 № 1147, от 12.04.2016 №372, от 10.08.2016 № 888, от 21.06.2017 № 584, от 05.04.2018 № 294, от 21.08.2019 № 945)</t>
  </si>
  <si>
    <t>Решение Думы Колпашевского района от 04.07.2019 № 80 "О предоставлении иных межбюджетных трансфертов бюджетам муниципальных образований Колпашевского района на 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муниципального образования "Колпашевский район" в 2019 году" (в редакции от 26.08.2019 № 92)</t>
  </si>
  <si>
    <t>26.08.2019- 20.12.2019</t>
  </si>
  <si>
    <t>Решение думы Колпашевского района от 06.02.2019 № 5 "О предоставлении иных межбюджетных трансфертов бюджету муниципального образования "Колпашевское городское поселение" на проектирование объекта: "Газораспределительные сети г.Колпашево и с.Тогур Колпашевского района Томской области, VIII очередь. 1 этап" (в редакции от 27.03.2019 № 33, от 26.08.2019 № 94)</t>
  </si>
  <si>
    <t>Постановление Администрации Колпашевского района от 27.08.2019 № 966 "О порядке расходования средств субсидии из областного бюджета на приобретение спортивного инвентаря и оборудования для спортивных школ"</t>
  </si>
  <si>
    <t>1.1.1.44.2. Субсидия на приобретение спортивного инвентаря и оборудования для спортивных школ</t>
  </si>
  <si>
    <t>27.08.2019- 31.12.2019</t>
  </si>
  <si>
    <t>Постановление Администрации Колпашевского района от 27.08.2019 № 968 "О порядке расходования средств субсидии из областного бюджета бюджету муниципального образования "Колпашевский район" на оборудование муниципальных полигонов средствами измерения массы твердых коммунальных отходов в рамках государственной программы "Воспроизводство и использование природных ресурсов Томской области"</t>
  </si>
  <si>
    <t>Постановление Администрации Колпашевского района от 04.09.2019 № 1001 "О порядке расходования средств субсидии из областного бюджета на внедрение целевой модели развития региональных систем дополнительного образования детей"</t>
  </si>
  <si>
    <t>04.09.2019- 31.12.2019</t>
  </si>
  <si>
    <t>11.09.2019- 31.12.2019</t>
  </si>
  <si>
    <t>Постановление Главы Колпашевского района от 26.07.2019 № 117 "О порядке расходования бюджетных ассигнований резервного фонда финансирования непредвиденных расходов Администрации Томской области" (распоряжение АТО от 15.07.2019 № 213-р-в)</t>
  </si>
  <si>
    <t>01.07.2019, не установлен</t>
  </si>
  <si>
    <t>1.1.1.66.   организация библиотечного обслуживания населения, комплектование и обеспечение сохранности библиотечных фондов библиотек сельского поселения</t>
  </si>
  <si>
    <t>1.6.2.47. 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</si>
  <si>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2349 (100 339)</t>
  </si>
  <si>
    <t>1036</t>
  </si>
  <si>
    <t>29.08.2019- 21.11.2019</t>
  </si>
  <si>
    <t>Постановление администрации Колпашевского района от 29.08.2019 № 981 "О предоставлении иных межбюджетных трансфертов бюджету муниципального образования "Колпашевское городское поселение" на организацию и проведение районных конкурсов, соревнований, слётов, фестивалей в сфере туризма" (в редакции от 16.09.2019 № 1052)</t>
  </si>
  <si>
    <t>Постановление Администрации Колпашевского района от 12.08.2014 № 791 "Об утверждении нормативов финансовых затрат на капитальный ремонт, ремонт, содержание автомобильных дорог общего пользования местного значения вне границ населенных пунктов в границах муниципального образования "Колпашевский район" и правил расчета размера ассигнований бюджета муниципального образования "Колпашевский район" на указанные цели" (в редакции от 18.09.2017 № 945, от 03.10.2018 № 1052, от 16.09.2019 № 1055)</t>
  </si>
  <si>
    <t>Постановление Администрации Колпашевскеого района от 20.09.2019 № 161 "О порядке расходования бюджетных ассигнований резервного фонда финансирования непредвиденных расходов Администрации Томской области" (распоряжение АТО от 13.09.2019 № 288-р-в)</t>
  </si>
  <si>
    <t>20.09.2019- 01.12.2019</t>
  </si>
  <si>
    <t>Решение Думы Колпашевского района от 25.09.2019 № 100 "О предоставлении иных межбюджетных трансфертов бюджетам поселений Колпашевского района на выполнение мероприятий по актуализации и корректировке схем теплоснабжения, водоснабжения, водоотведения"</t>
  </si>
  <si>
    <t>25.09.2019- 23.12.2019</t>
  </si>
  <si>
    <t>Решение Думы Колпашевского района от 24.04.2019 № 44 "О предоставлении иных межбюджетных трансфертов бюджетам поселений Колпашевского района на приобретение контейнеров для сбора твердых коммунальных отходов" (в редакции от 03.06.2019 № 58, от 25.09.2019 № 101)</t>
  </si>
  <si>
    <t>Решение Думы Колпашевского района от 04.07.2019 № 71 "О предоставлении иных межбюджетных трансфертов бюджету муниципального образования "Колпашевское городское поселение" на выполнение мероприятий по благоустройству населенных пунктов" (в редакции от 25.09.2019 № 102)</t>
  </si>
  <si>
    <t>04.07.2019- 23.12.2019</t>
  </si>
  <si>
    <t>Постановление Администрации Колпашевского района от 27.09.2019 № 1091 "О предоставлении средств иных межбюджетных трансфертов на награждение сельского поселения, победителя районной сельскохозяйственной ярмарки "Дары осени", из бюджета муниципального образования "Колпашевский район" в 2019 году"</t>
  </si>
  <si>
    <t>27.09.2019- 30.11.2019</t>
  </si>
  <si>
    <t>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решений Думы Колпашевского района от 23.08.2010 № 914, от 24.12.2010 № 32, от 18.03.2011 № 21, от 23.04.2012 № 48, от 24.05.2012 № 85, от 16.07.2012 № 95, от 19.12.2012 № 151, от 29.04.2013 № 33, от 25.11.2013 № 102, от 17.03.2014 № 18, от 27.10.2014 № 117, от 26.01.2015 № 7, от 24.08.2016 № 84, от 24.11.2016 № 114, от 26.02.20108 № 13, от 29.03.2018 № 21, от 27.03.2019 № 34, от 04.07.2019 № 67)</t>
  </si>
  <si>
    <t>13.07.2010, не установлен</t>
  </si>
  <si>
    <t>Постановление Администрации Колпашевского района от 10.10.2019 № 1151 "О порядке расходования средств субсидии из областного бюджета Томской области, а также средств бюджета муниципального образования "Колпашевский район" на государственную поддержку отрасли культуры в 2019 году"</t>
  </si>
  <si>
    <t>10.10.2019- 31.12.2019</t>
  </si>
  <si>
    <t>1854 (691)</t>
  </si>
  <si>
    <t>1.6.4.2.4.1. ИМБТ на ремонт автомобильных дорог общего пользования местного значения в границах населенных пунктов поселений Колпашевского района</t>
  </si>
  <si>
    <t>Решение думы Колпашевского района от 06.02.2019 № 11 "О предоставлении иных межбюджетных трансфертов бюджету муниципального образования "Колпашевское городское поселение" на выполнение работ по координатному описанию границ населенных пунктов Колпашевского городского поселения" (в редакции от 23.10.2019 № 113)</t>
  </si>
  <si>
    <t>Решение Думы Колпашевского района от 23.10.2019 № 114 "О предоставлении иных межбюджетных трансфертов бюджету муниципального образования "Чажемтовское сельское поселение" на ремонт сетей водоснабжения в с. Чажемто"</t>
  </si>
  <si>
    <t>23.10.2019- 23.12.2019</t>
  </si>
  <si>
    <t>26.02.2019- 17.12.2019</t>
  </si>
  <si>
    <t>Постановление Администрации Колпашевского района от 23.05.2019 № 518 "О порядке расходования средств субсидии из бюджета Томской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 (в редакции от 12.11.2019 № 1251)</t>
  </si>
  <si>
    <t>25.11.2019- 31.12.2019</t>
  </si>
  <si>
    <t>(100 309)</t>
  </si>
  <si>
    <t>Решение Думы Колпашевского района от 25.11.2019 № 127 "О предоставлении иных межбюджетных трансфертов бюджету муниципального образования "Колпашевское городское поселение" на выполнение работ по созданию концепции сквера, расположенного по адресу: Томская область, г. Колпашево, ул. Кирова, 28, для оформления заявки на конкурс "Малые города"</t>
  </si>
  <si>
    <t>Постановление Администрации Колпашевского района от 03.07.2019 № 713 "О предоставлении иных межбюджетных трансфертов бюджету муниципального образования "Новогоренское сельское поселение" на подготовку спортивных сооружений к проведению межпоселенческой спартакиады в д. Новогорное" (в редакции от 20.11.2019 № 1295)</t>
  </si>
  <si>
    <t>Решение Думы Колпашевского района от 16.07.2012 № 91 "Об утверждении Порядка предоставления дотаций на выравнивание бюджетной обеспеченности поселений из бюджета муниципального образования «Колпашевский район» (в редакции от 25.11.2019 № 121)</t>
  </si>
  <si>
    <t>Решение Думы Колпашевского района от 29.04.2013 № 36 "О порядке использования средств бюджета муниципального образования «Колпашевский район на реализацию мероприятий, направленных на создание условий для развития сельскохозяйственного производства в поселениях, расширения рынка сельскохозяйственной продукции, сырья продовольствия" (в редакции от 27.11.2015 № 44, от 25.11.2019 № 124)</t>
  </si>
  <si>
    <t>Решение Думы Колпашевского района от 04.07.2019 № 76 "О предоставлении иных межбюджетных трансфертов бюджету муниципального образования "Чажемтовское сельское поселение" на ремонт теплотрассы и ремонт оборудования котельной с.Чажемто" (в редакции от 23.10.2019 № 115, от 25.11.2019 № 125)</t>
  </si>
  <si>
    <t>Решение Думы Колпашевского района от 26.08.2019 № 93 "О предоставлении иных межбюджетных трансфертов бюджету муниципального образования "Чажемтовское сельское поселение" на ремонт муниципального жилья" (в редакции от 23.10.2019 № 116, от 25.11.2019 № 126)</t>
  </si>
  <si>
    <t xml:space="preserve">1.6.4.2.7. создание условий для предоставления транспортных услуг населению и организация транспортного обслуживания населения в границах городского и сельского поселения (в части водного транспорта) </t>
  </si>
  <si>
    <t>04.07.2019- 20.11.2019</t>
  </si>
  <si>
    <t xml:space="preserve">Решение Думы Колпашевского района от 23.04.2012 № 67 "О порядке использования средств бюджета муниципального образования «Колпашевский район»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организаций культуры" (в редакции от 25.11.2013 № 105, от 22.09.2014 № 92, от 15.12.2014 № 153, от 25.03.2015 № 27, от 07.09.2015 № 82, от 27.11.2015 № 38, от 30.05.2016 № 48, от 20.10.2016 № 97, от 25.11.2019 № 132)
</t>
  </si>
  <si>
    <t>Решение Думы Колпашевского района от 28.04.2014 № 42 "О финансировании расходов на создание условий для оказания медицинской помощи населению на территории Колпашевского района" (в редакции от 22.09.2014 № 90, от 15.12.2014 № 159, от 02.11.2015 № 8, от 29.01.2016 № 3, от 29.02.2016 № 10, от 27.04.2017 № 29, от 18.12.2018 № 121, от 25.11.2019 № 133)</t>
  </si>
  <si>
    <t>Постановление Главы Колпашевского района от 28.11.2019 № 221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15.11.2019 № 362-р-в)</t>
  </si>
  <si>
    <t>28.11.2019- 25.12.2019</t>
  </si>
  <si>
    <t>Постановление Администрации Колпашевского района от 06.05.2019 № 448 "О порядке распределения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 (в редакции от 29.11.2019 № 1340)</t>
  </si>
  <si>
    <t>Постановление Администрации Колпашевскогго района от 16.04.2015 № 417 "О порядке распределения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 (в редакции от 08.09.2015 № 900, от 10.02.2016 № 104, от 11.01.2017 № 3, от13.12.2017 № 1319, от 02.04.2018 № 281, 20.12.2018 № 1408, от 29.11.2019 № 1341)</t>
  </si>
  <si>
    <t>08.08.2019- 25.12.2019</t>
  </si>
  <si>
    <t>Постановление Главы Колпашевского района от 08.08.2019 № 122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 (приобретение хоккейного корта) (в редакции от 11.12.2019 № 230)</t>
  </si>
  <si>
    <t>Постановление Администрации Колпашевского района от 10.10.2019 № 1152 "О распределении средств иных межбюджетных трансфертов на поощрение поселенческих команд, участвовавших в XIV летней межпоселенческой спартакиаде в д. Новогорное, из бюджета муниципального образования "Колпашевский район" в 2019 году" (в редакции от 11.12.2019 № 1396)</t>
  </si>
  <si>
    <t>10.10.2019- 25.12.2019</t>
  </si>
  <si>
    <t>Постановление Главы Колпашевского района от 31.10.2019 № 207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11.10.2019 № 319-р-в)</t>
  </si>
  <si>
    <t>31.10.2019- 15.12.2019</t>
  </si>
  <si>
    <t>(210 519)</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</si>
  <si>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</si>
  <si>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Постановление Администрации Колпашевского района от 05.06.2019 № 596 "О порядке расходования в 2019 году средств субсидии из областного бюджета на обеспечение устойчивого развития сельских территорий" (в редакции от 11.12.2019 № 1398)</t>
  </si>
  <si>
    <t>Решение Думы Колпашевского района от 03.06.2019 № 55 "О предоставлении иных межбюджетных трансфертов бюджету муниципального образования "Колпашевское городское поселение" на ремонт сетей водоснабжения г.Колпашево и с.Тогур" (в редакции от 12.12.2019 № 135)</t>
  </si>
  <si>
    <t>Решение Думы Колпашевского района от 25.11.2019 № 128 "О предоставлении иных межбюджетных трансфертов бюджету муниципального образования "Колпашевское городское поселение" на организацию теплоснабжения населения" (в редакции от 12.12.2019)</t>
  </si>
  <si>
    <t>Решение Думы Колпашевского района от 28.02.2019 № 23 "О предоставлении иных межбюджетных трансфертов бюджету муниципального образования "Колпашевское городское поселение" на организацию теплоснабжения населения в границах муниципального образования "Колпашевское городское поселение" (в редакции от 26.08.2019 № 96, от 12.12.2019 № 137)</t>
  </si>
  <si>
    <t>Постановление Администрации Колпашевского района от 16.12.2019 № 1423 "О порядке расходования в 2019 году средств субсидии на реализацию мероприятия "Строительство объекта "Здание МБОУ "Саровская СОШ" на 110 мест в п. Большая Саровка Колпашевского района" (Разработка ПСД)" государственной программы "Содействие созданию в Томской области новых мест в общеобразовательных организациях"</t>
  </si>
  <si>
    <t>16.12.2019- 31.12.2019</t>
  </si>
  <si>
    <t>Решение Думы Колпашевского района от 28.02.2019 № 24 "О предоставлении иных межбюджетных трансфертов бюджетам поселений Колпашевского района на ремонт автомобильных дорог общего пользования местного значения в границах населенных пунктов поселений Колпашевского района" (в редакции от 04.07.2019 № 82, от 23.10.2019 № 117, от 18.12.2019 № 147)</t>
  </si>
  <si>
    <t>28.02.2019- 20.12.2019</t>
  </si>
  <si>
    <t>Решение думы Колпашевского района от 26.08.2019 № 95 "О предоставлении иных межбюджетных трансфертов бюджету муниципального образования "Колпашевское городское поселение" на приобретение и установку приборов учёта холодной и горячей воды" (в редакции от 18.12.2019 № 148)</t>
  </si>
  <si>
    <t>Решение Думы Колпашевского района от 03.06.2019 № 59 "О предоставлении иных межбюджетных трансфертов бюджету муниципального образования "Колпашевское городское поселение" на благоустройство территории по ул.Кирова, 43/1 (устройство городской детской - спортивной площадки)" (в редакции от 04.07.2019 № 72, от 25.09.2019 № 103, от 18.12.2019 № 149)</t>
  </si>
  <si>
    <t>Постановление Администрации Колпашевского района от 29.04.2019 № 427 "О порядке использования средств субсидии из областного бюджета на реализацию мероприятий подпрограммы "Развитие и модернизация коммунальной инфраструктуры Томской области" государственной программы "Развитие коммунальной и коммуникационной инфраструктуры в Томской области" по проведению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 (в редакции от 12.09.2019 № 1042, от 03.12.2019 № 1369, от 20.12.2019 № 1460)</t>
  </si>
  <si>
    <t>25.03.2019- 25.12.2019</t>
  </si>
  <si>
    <t>Постановление Администрации Колпашевского района от 22.08.2019 № 949 "О порядке использования средств субсидии из областного бюджета на создание мест (площадок) накопления твердых коммунальных отходов в рамках государственной программы "Воспроизводство и использование природных ресурсов Томской области" (в редакции от 30.10.2019 № 1208, от 23.12.2019 № 1471)</t>
  </si>
  <si>
    <t>22.08.2019- 31.12.2019</t>
  </si>
  <si>
    <t>Постановление Администрации Колпашевского района от 11.09.2019 № 1036 "О порядке расходования средств субсидии из областного бюджета на внедрение и функционирование целевой модели цифровой образовательной среды в общеобразовательных организациях" (в редакции от 23.12.2019 № 1472)</t>
  </si>
  <si>
    <t>Постановление Администрации Колпашевского района от 24.12.2019 № 1479 "Об утверждении Положения о порядке предоставления субсидии на возмещение затрат в связи с выполнением работ, оказанием услуг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территории Колпашевского района"</t>
  </si>
  <si>
    <t>24.12.2019- 31.12.2019</t>
  </si>
  <si>
    <t>Постановление администрации Колпашевского района от 24.12.2019 № 1480 "О порядке использования иных межбюджетных трансфертов из областного бюджета бюджетам муниципальных образований Томской области на поощрение муниципальных управленческих команд"</t>
  </si>
  <si>
    <t>24.12.2019- 30.12.2019</t>
  </si>
  <si>
    <t>Постановление Администрации Колпашевского района от 26.02.2019 № 191 "О порядке расходования средств субсидии на обеспечение условий для развития физической культуры и массового спорта" (в редакции от 05.12.2019 № 1377, от 25.12.2019 № 1481)</t>
  </si>
  <si>
    <t>26.02.2019- 27.12.2019</t>
  </si>
  <si>
    <t>Постановление Администрации Колпашевского района от 26.07.2019 № 818 "О порядке расходования средств субсидии на софинансирование реализации проектов, отобранных по итогам проведения конкурса проектов по организации и проведению в 2019 году мероприятий, направленных на поддержку развития социального туризма в рамках реализации государственной программы "Развитие культуры и туризма в Томской области" (в редакции от 10.01.2020 № 4)</t>
  </si>
  <si>
    <t>Постановление Администрации Колпашевского района от 19.12.2019 № 1453 "О предоставлении субсидии на осуществление капитальных вложений в объекты капитального строительства муниципальной собственности и объекты недвижимого имущества, приобретаемые в муниципальную собственность"</t>
  </si>
  <si>
    <t>19.12.2019- 23.12.2019</t>
  </si>
  <si>
    <t>текущий 2020 год</t>
  </si>
  <si>
    <t>очередной 2021 год</t>
  </si>
  <si>
    <t>2022 год</t>
  </si>
  <si>
    <t>0705</t>
  </si>
  <si>
    <t>1219</t>
  </si>
  <si>
    <t>2347</t>
  </si>
  <si>
    <t>2349</t>
  </si>
  <si>
    <t>2324</t>
  </si>
  <si>
    <t>Решение Думы Колпашевского района от 25.11.2019 № 130 "О предоставлении иных межбюджетных трансфертов бюджету муниципального образования "Колпашевское городское поселение"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 в 2020 году"</t>
  </si>
  <si>
    <t>Решение Думы Колпашевского района от 28.10.2013 № 91 "О создании муниципального дорожного фонда муниципального образования "Колпашевский район" и утверждении положения о порядке формирования и использования бюджетных ассигнований муниципального дорожного фонда муниципального образования "Колпашевский район" (в редакции от 28.04.2014 № 38, от 18.12.2019 № 150)</t>
  </si>
  <si>
    <t>1.1.1.20.4. МП "Обеспечение безопасности  населения Колпашевского района"</t>
  </si>
  <si>
    <t>1.1.1.20.5. МП "Развитие муниципальной системы образования в Колпашевском районе"</t>
  </si>
  <si>
    <t xml:space="preserve">1.1.1.20.7. расходы за счет резервных фондов Администрации Томской области </t>
  </si>
  <si>
    <t>1.1.1.32.4. Иные межбюджетные трансферты на создание виртуальных концертных залов по результатам конкурсного отбора, проводимого Министрерством культуры Российской Федерации</t>
  </si>
  <si>
    <t>1.1.1.32.5. Субсидия бюджетам муниципальных образований на разработку проектной документации на строительство объектов муниципальной собственности в сфере культуры</t>
  </si>
  <si>
    <t>1.1.1.32.6. межбюджетные трансферты из резервного фонда финансирования непредвиденных расходов Администрации Томской области</t>
  </si>
  <si>
    <t>1.4.1.2. по составлению (изменению) списков кандидатов в присяжные заседатели федеральных судов общей юрисдикции в РФ</t>
  </si>
  <si>
    <t>(311 556)</t>
  </si>
  <si>
    <t>(312 562) (311 556)</t>
  </si>
  <si>
    <t>1.6.2.2.1.1. Иные межбюджетные трансферты на проектирование объекта: "Газораспределительные сети г.Колпашево и с.Тогур Колпашевского района Томской области, VIII очередь. 1 этап"</t>
  </si>
  <si>
    <t>1.6.2.2.1.2. Иные межбюджетные трансферты на строительство объекта: "Газораспределительные сети г.Колпашево и с.Тогур Колпашевского района Томской области, 7 очередь"</t>
  </si>
  <si>
    <t>1.6.2.2.1.3. Иные межбюджетные трансферты на организацию теплоснабжения населения в границах муниципального образования "Колпашевское городское поселение"</t>
  </si>
  <si>
    <t>1.6.2.2.1.4. Иные межбюджетные трансферты на ремонт оборудования котельной с. Копыловка</t>
  </si>
  <si>
    <t>1.6.2.2.1.5. Иные межбюджетные трансферты на ремонт ограждения станции обезжелезивания по адресу г.Колпашево, ул.Кирова, 114</t>
  </si>
  <si>
    <t>1.6.2.2.1.6. Иные межбюджетные трансферты на ремонт сетей водоснабжения г.Колпашево и с.Тогур</t>
  </si>
  <si>
    <t>1.6.2.2.1.7. Иные межбюджетные трансферты на проектирование зоны санитарной охраны источника водоснабжения</t>
  </si>
  <si>
    <t>1.6.2.2.1.8. Иные межбюджетные трансферты на организацию водоснабжения с. Новоильинка</t>
  </si>
  <si>
    <t>1.6.2.2.1.9. Иные межбюджетные трансферты на ремонт оборудования котельной в п. Дальнее</t>
  </si>
  <si>
    <t>1.6.2.2.1.10. Иные межбюджетные трансферты на ремонт теплотрассы и ремонт оборудования котельной с.Чажемто</t>
  </si>
  <si>
    <t>1.6.2.2.1.11. Иные межбюджетные трансферты на приобретение и установку приборов учета холодной и горячей воды</t>
  </si>
  <si>
    <t>1.6.2.2.1.12. Иные межбюджетные трансферты на выполнение меропрятий по актуализации и корректироке схем теплоснабжения, водоснабжения, водоотведения</t>
  </si>
  <si>
    <t>1.6.2.2.1.13. Иные межбюджетные трансферты на ремонт сетей водоснабжения в с. Чажемто</t>
  </si>
  <si>
    <t xml:space="preserve">1.6.2.2.1.14. Иные межбюджетные трансферты на организацию теплоснабжения населения </t>
  </si>
  <si>
    <t xml:space="preserve">1.6.2.2.1.15. Иные межбюджетные трансферты на выполнение проектных работ по реконструкции тепловых сетей в 2020 году </t>
  </si>
  <si>
    <t>1.6.2.2.1.16. Иные межбюджетные трансферты на строительство инженерных сетей соцкультбыта в новом микрорайоне комплексной застройки "Юбилейный" в с.Чажемто Колпашевского района</t>
  </si>
  <si>
    <t>(100 301)</t>
  </si>
  <si>
    <t>1.6.2.2.1.17. Иные межбюджетные трансферты на проектирование зон санитарной охраны источника водоснабжения</t>
  </si>
  <si>
    <t>1.6.2.2.1.18. Иные межбюджетные трансферты на строительство объекта: "Газораспределительные сети г.Колпашево и с.Тогур Колпашевского района Томской области, 7 очередь"</t>
  </si>
  <si>
    <t>1.6.2.2.1.19. Иные межбюджетные трансферты на проектирование объекта: "Газораспределительные сети г.Колпашево и с.Тогур Колпашевского района Томской области, VIII очередь. 1 этап"</t>
  </si>
  <si>
    <t>(100 306)</t>
  </si>
  <si>
    <t>1.6.4.2.21.1. ИМБТ на подготовку спортивных сооружений к проведению межпоселенческой спартакиады в с.Инкино</t>
  </si>
  <si>
    <t>1.6.4.2.21.2. Иные межбюджетные трансферты на поощрение поселенческих команд, участвовавших в XII зимней межпоселенческой спартакиаде в с. Инкино</t>
  </si>
  <si>
    <t>1.6.4.2.21.3. Иные межбюджетные трансферты на подготовку спортивных сооружений к проведению межпоселенческой спартакиады в д. Новогорное</t>
  </si>
  <si>
    <t>1.6.4.2.21.4. Иные межбюджетные трансферты на поощрение поселенческих команд, участвовавших в XIV межпоселенческой спартакиаде в д. Новогорное</t>
  </si>
  <si>
    <t>1.6.4.2.21.5. МБТ из резервного фонда финансирования непредвиденных расходов Администрации Томской области (в соответствии с распоряжением АТО от 04.02.2019 № 8-р-в)</t>
  </si>
  <si>
    <t>1.6.4.2.21.6. МБТ из резервного фонда финансирования непредвиденных расходов Администрации Томской области (в соответствии с распоряжением АТО от 15.07.2019 № 214-р-в)</t>
  </si>
  <si>
    <t>1.6.4.2.21.7. Иные межбюджетные трансферты на обустройство спортивных объектов в с.Чажемто</t>
  </si>
  <si>
    <t>1.6.4.2.24.1. Иные межбюджетные трансферты на приобретение контейнеров для сбора твердых коммунальных отходов</t>
  </si>
  <si>
    <t>1.6.4.2.24.3. Субсидия из областного бюджета бюджету муниципального образования "Колпашевский район" на создание мест (площадок) накопления твердых коммунальных отходов в рамках государственной программы "Воспроизводство и использование природных ресурсов Томской области"</t>
  </si>
  <si>
    <t>1.6.4.2.24.2. Иные межбюджетные трансферты на обустройство площадок для временного накопления твердых коммунальных отходов</t>
  </si>
  <si>
    <t>1.6.4.2.24.4. Иные межбюджетные трансферты на ликвидацию мест несанкционированного размещения твердых коммунальных отходов</t>
  </si>
  <si>
    <t>2347 (206 528)</t>
  </si>
  <si>
    <t>(227 548)</t>
  </si>
  <si>
    <t>1.1.1.84. создание условий для развития сельскохозяйственного производства в поселениях в сфере рыбоводства и рыболовства</t>
  </si>
  <si>
    <t>1086 (206 507)</t>
  </si>
  <si>
    <t>1.6.4.2.2.2.4. субсидия на компенсацию сверхнормативных расходов и выпадающих доходов ресурсоснабжающих организаций</t>
  </si>
  <si>
    <t>(201 504)</t>
  </si>
  <si>
    <t>1.6.4.2.2.2.5. Субсидия на осуществление капитальных вложений в объекты муниципальной собственности в сфере газификации в рамках государственной программы "Развитие коммунальной инфраструктуры в Томской области" (Газораспределительные сети г. Колпашево и с. Тогур Колпашевского района Томской области. 8 очередь.1 этап)</t>
  </si>
  <si>
    <t>(219 514)</t>
  </si>
  <si>
    <t>1.6.4.2.2.2.6. Субсидия на осуществление капитальных вложений в объекты муниципальной собственности в целях модернизации коммунальной инфраструктуры Томской области в рамках государственной программы "Развитие коммунальной инфраструктуры в Томской области"</t>
  </si>
  <si>
    <t>(219 505)</t>
  </si>
  <si>
    <t>1.6.4.2.24.5. Субсидия на создание мест (площадок) накопления твердых коммунальных отходов в рамках государственной программы "Обращение с отходами, в том числе с твердыми коммунальными отходами, на территории Томской области"</t>
  </si>
  <si>
    <t>(226 538)</t>
  </si>
  <si>
    <t>(226 539)</t>
  </si>
  <si>
    <t>1.6.4.2.26.1.1. Иные межбюджетные трансферты на выполнение мероприятий по благоустройству населенных пунктов</t>
  </si>
  <si>
    <t>1.6.4.2.26.1.2. Иные межбюджетные трансферты на выполнение работ по разработке дизайн - проектов общественных территорий</t>
  </si>
  <si>
    <t>1.6.4.2.26.1.3. Иные межбюджетные трансферты на благоустройство общественных территорий</t>
  </si>
  <si>
    <t>1.6.4.2.26.1.4. Иные межбюджетные трансферты на благоустройство территории по ул.Кирова, 43/1 (устройство городской детской - спортивной площадки)</t>
  </si>
  <si>
    <t>1.6.4.2.26.1.5. Иные межбюджетные трансферты на организацию уличного освещения</t>
  </si>
  <si>
    <t>1.6.4.2.26.1.6. Иные межбюджетные трансферты на выполнение работ по созданию концепции сквера, расположенного по адресу: Томская область, г.Колпашево, ул. Кирова, 28 для оформления заявки на конкурс "Малые города"</t>
  </si>
  <si>
    <t>1.6.4.2.26.2.4. Субсидия на обеспечение комплексного развития сельских территорий (реализация проектов по благоустройству сельских территорий) (за счет средств федерального бюджета)</t>
  </si>
  <si>
    <t>(227 508)</t>
  </si>
  <si>
    <t>1.6.4.2.26.2.5. Субсидия на обеспечение комплексного развития сельских территорий (реализация проектов по благоустройству сельских территорий) (софинансирование за счет средств областного бюджета к средствам федерального бюджета)</t>
  </si>
  <si>
    <t>(227 509)</t>
  </si>
  <si>
    <t>1.6.4.2.26.1.7. Иные межбюджетные трансферты на обеспечение комплексного развития сельских территорий (реализация проектов по благоустройству сельских территорий)</t>
  </si>
  <si>
    <t>1.6.4.2.26.1.8. Иные межбюджетные трансферты на реализацию программ формирования современной городской среды</t>
  </si>
  <si>
    <t>1.1.1.17.4.Субсидия местным бюджетам на капитальный ремонт муниципальных дошкольных образовательных организаций (включая разработку проектной документации) в рамках государственной программы "Развитие образования в Томской области" (Капитальный ремонт Озеренского детского сада в Колпашевском районе)</t>
  </si>
  <si>
    <t>1.1.1.17.5.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федерального бюджета)</t>
  </si>
  <si>
    <t>(209 513)</t>
  </si>
  <si>
    <t>(209 515)</t>
  </si>
  <si>
    <t>1.1.1.17.6.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(софинансирование за счет средств областного бюджета к средствам федерального бюджета)</t>
  </si>
  <si>
    <t>(209 516)</t>
  </si>
  <si>
    <t>1.1.1.18.9. Субсидия местным бюджетам на приобретение учебно-методических комплектов в 2020 году для поэтапного введения федеральных государственных образовательных стандартов</t>
  </si>
  <si>
    <t>(209 517)</t>
  </si>
  <si>
    <t>1.1.1.19.11. Субсидия местным бюджетам на приобретение учебно-методических комплектов в 2020 году для поэтапного введения федеральных государственных образовательных стандартов</t>
  </si>
  <si>
    <t>1.1.1.18.11.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федерального бюджета)</t>
  </si>
  <si>
    <t>1.1.1.18.12.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(софинансирование за счет средств областного бюджета к средствам федерального бюджета)</t>
  </si>
  <si>
    <t>1.1.1.19.13.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федерального бюджета)</t>
  </si>
  <si>
    <t>1.1.1.19.14.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(софинансирование за счет средств областного бюджета к средствам федерального бюджета)</t>
  </si>
  <si>
    <t>1.1.1.20.7.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федерального бюджета)</t>
  </si>
  <si>
    <t>1.1.1.20.8.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(софинансирование за счет средств областного бюджета к средствам федерального бюджета)</t>
  </si>
  <si>
    <t>(208 510)</t>
  </si>
  <si>
    <t>1086</t>
  </si>
  <si>
    <t>1713</t>
  </si>
  <si>
    <t>1023 т</t>
  </si>
  <si>
    <t>2302т</t>
  </si>
  <si>
    <t>2320т</t>
  </si>
  <si>
    <t>1022т</t>
  </si>
  <si>
    <t>1034т</t>
  </si>
  <si>
    <t>1047т</t>
  </si>
  <si>
    <t>2305 т</t>
  </si>
  <si>
    <t>2304т</t>
  </si>
  <si>
    <t>2347т</t>
  </si>
  <si>
    <t>2315т</t>
  </si>
  <si>
    <t>1219т</t>
  </si>
  <si>
    <t>1020т</t>
  </si>
  <si>
    <t>1021т</t>
  </si>
  <si>
    <t>2307т</t>
  </si>
  <si>
    <t>итого т</t>
  </si>
  <si>
    <t>1503т</t>
  </si>
  <si>
    <t>1801т</t>
  </si>
  <si>
    <t>1802т</t>
  </si>
  <si>
    <t>1703т</t>
  </si>
  <si>
    <t>1805т</t>
  </si>
  <si>
    <t>1854т</t>
  </si>
  <si>
    <t>1821т</t>
  </si>
  <si>
    <t>1898т</t>
  </si>
  <si>
    <t>2003т</t>
  </si>
  <si>
    <t>1838т</t>
  </si>
  <si>
    <t>1828т</t>
  </si>
  <si>
    <t>2105т</t>
  </si>
  <si>
    <t>1712т</t>
  </si>
  <si>
    <t>2103т</t>
  </si>
  <si>
    <t>2101т</t>
  </si>
  <si>
    <t>01.01.2019- 22.12.2020</t>
  </si>
  <si>
    <t>Решение Думы Колпашевского района от 18.12.2019 № 146 "О предоставлении иных межбюджетных трансфертов бюджету муниципального образования "Колпашевское городское поселение" на выполнение проектных работ по реконструкции тепловых сетей в 2020 году"</t>
  </si>
  <si>
    <t>01.01.2020- 31.12.2020</t>
  </si>
  <si>
    <t>Решение Думы Колпашевского района от 10.09.2012 № 115 "О предоставлении иных межбюджетных трансфертов на поддержку мер по обеспечению сбалансированности местных бюджетов" (в редакции от 28.10.2013 № 85, от 22.09.2014 № 87, от 27.10.2014 № 112, от 07.09.2015 № 80, от 02.11.2017 № 4, от 20.10.2016 № 89, от 26.10.2017 № 97, от 03.10.2018 № 87, от 23.10.2019 № 106, от 331.01.2020 № 2)</t>
  </si>
  <si>
    <t>Решение думы Колпашевского районат от 31.01.2020 № 3 "О порядке предоставления и распределения иных межбюджетных трансфертов из бюджета муниципального образования "Колпашевский район" бюджетам поселений Колпашевского района на компенсацию расходов по организации электроснабжения от дизельных электростанций"</t>
  </si>
  <si>
    <t>01.01.2020, не указан</t>
  </si>
  <si>
    <t>Решение Думы Колпашевского района от 31.01.2020 № 8 "О предоставлении за счет средств бюджета МО "Колпашевский район"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ВОв 1941-1945 годов; труженников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ВОв 1941-1945 годов, не вступивших в повторный брак"</t>
  </si>
  <si>
    <t>31.01.2020- 31.12.2020</t>
  </si>
  <si>
    <t>Решение Думы Колпашевского района от 31.01.2020 № 9 "О предоставлении иных межбюджетных трансфертов бюджету муниципального образования "Чажемтовское сельское поселение" на обустройство спортивных объектов в с. Чажемто"</t>
  </si>
  <si>
    <t>31.01.2020- 01.05.2020</t>
  </si>
  <si>
    <t>Решение Думы Колпашевского района от 31.01.2020 № 10 "О предоставлении и распределении иных межбюджетных трансфертов бюджетам поселений Колпашевского района на обеспечение условий для развития физической культуры и массового спорта"</t>
  </si>
  <si>
    <t>31.01.2020- 25.12.2020</t>
  </si>
  <si>
    <t>Решение Думы Колпашевского района от 31.01.2020 № 11 "О предоставлении иных межбюджетных трансфертов бюджету муниципального образования "Новоселовское сельское поселение" на ликвидацию мест несанкционированного размещения твёрдых коммунальных отходов"</t>
  </si>
  <si>
    <t>Решение Думы Колпашевского района от 31.01.2020 № 12 "О предоставлении иных межбюджетных трансфертов бюджетам муниципальных образований Колпашевского района на проектирование зон санитарной охраны источников водоснабжения"</t>
  </si>
  <si>
    <t>Решение Думы Колпашевского района от 31.01.2020 № 13 "О предоставлении иных межбюджетных трансфертов бюджету муниципального образования "Колпашевское городское поселение" на проектирование объекта: "Газораспределительные сети г.Колпашево и с.Тогур Колпашевского района Томской области, VIII очередь. 1 этап"</t>
  </si>
  <si>
    <t>31.01.2020- 23.12.2020</t>
  </si>
  <si>
    <t>Решение Думы Колпашевского района от 31.01.2020 № 14 "О предоставлении иных межбюджетных трансфертов бюджету муниципального образования "Колпашевское городское поселение" на строительство объекта: "Газораспределительные сети г.Колпашево и с.Тогур Колпашевского района Томской области, 7 очередь"</t>
  </si>
  <si>
    <t>Решение Думы Колпашевского района от 31.01.2020 № 15 "О предоставлении иных межбюджетных трансфертов бюджету муниципального образования "Чажемтовское сельское поселение" на строительство инженерных сетей и зданий соцкультбыта в новом микрорайоне комплексной застройки "Юбилейный" в с. Чажемто Колпашевского района"</t>
  </si>
  <si>
    <t>31.01.2020- 22.12.2020</t>
  </si>
  <si>
    <t>Решение Думы Колпашевского района от 31.01.2020 № 16 "О порядке предоставления иных межбюджетных трансфертов из бюджета муниципального образования "Колпашевский район" бюджетам поселений Колпашевского района на исполнение судебных актов по обеспечению жилыми помещениями детей - сирот и детей, оставшихся без попечения родителей, а также лиц из их числа"</t>
  </si>
  <si>
    <t>31.01.2020, не установлен</t>
  </si>
  <si>
    <t>Решение Думы Колпашевского района от 31.01.2020 № 17 "О предоставлении субвенций бюджетам поселений Колпашевского района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</si>
  <si>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31.01.2020- 27.12.2020</t>
  </si>
  <si>
    <t>Постановление Администрации Колпашевского района от 19.02.2020 № 168 "О порядке расходования средств субсидии из бюджета Томской области на сздание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</si>
  <si>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19.02.2020- 31.12.2020</t>
  </si>
  <si>
    <t>1.6.4.2.1.1. ИМБТ на выполнение работ по координатному описанию границ населенных пунктов Колпашевского городского поселения"</t>
  </si>
  <si>
    <t>1.6.4.2.1.2. ИМБТ на выполнение работ по координатному описанию границ населенных пунктов Новоселовского сельского поселения"</t>
  </si>
  <si>
    <t>1.6.4.2.1.3. ИМБТ на выполнение работ по координатному описанию границ населенных пунктов Чажемтовского сельского поселения"</t>
  </si>
  <si>
    <t>1.6.4.2.1.4. Иные межбюджетные трансферты на выполнение комплекса кадастровых работ по выделу земельной доли, находящейся в собственности муниципального образования "Новогоренское сельское поселение" в границах САО "Петропавловское"</t>
  </si>
  <si>
    <t>1.6.4.2.1.5. Иные межбюджетные трансферты на выполнение комплекса кадастровых работ по образованию и межеванию границ земельного участка для размещения кладбища, расположенного по адресу: д.Новогорное (за пределами населенного пункта)</t>
  </si>
  <si>
    <t>1.6.4.2.4.4. Иные межбюджетные трансферты на 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муниципального образования "Колпашевский район"</t>
  </si>
  <si>
    <t>1.6.4.2.4.5. Субсидия на софинансирование расходных обязательств по решению вопросов местного значения, возникающих в связи с реализацией Администрацией поселения проекта "Обустройство пешеходного тротуара по ул. Советская в с. Тогур Колпашевского района"</t>
  </si>
  <si>
    <t>1.6.4.2.5.2. субсидии местным бюджетам на создание условий для управления многоквартирными домами</t>
  </si>
  <si>
    <t>Постановление Администрации Колпашевского района от 10.12.2015 № 1257 "Об утверждении муниципальной программы "Обеспечение безопасности населения Колпашевского района" (в редакции от 11.07.2016 № 768, от 09.09.2016 № 1050, от 05.10.2016 № 1122, от 21.11.2016 № 1276, от 15.03.2017 № 216, от 31.01.2018 № 65, от 16.05.2018 № 414, от 31.01.2019 № 74, от 31.01.2020 № 84)</t>
  </si>
  <si>
    <t>проект на 2020 год</t>
  </si>
  <si>
    <t>Закон Томской области от 28.12.2019 № 166-ОЗ "О субвенциях на осуществление полномочий по первичному воинскому учету на территориях, где отсутствуют военные комиссариаты"</t>
  </si>
  <si>
    <t>01.01.2020, не установлен</t>
  </si>
  <si>
    <t>Постановление Администрации Томской области от 26.09.2019 N 340а "Об утверждении государственной программы "Развитие транспортной системы в Томской области"</t>
  </si>
  <si>
    <t>Прил. № 1</t>
  </si>
  <si>
    <t>Постановление Администрации Колпашевского района от 26.02.2019 № 185 "О порядке использования средств субсидии из областного бюджета на капитальный ремонт и (или) ремонт автомобильных дорог общего пользования местного значения в рамках государственной программы "Развитие транспортной системы в Томской области" (в редакции от 22.07.2019 № 786, от 28.08.2019 № 973, от 16.12.2019 № 1437, от 27.12.2019 № 1494)</t>
  </si>
  <si>
    <t>Постановление Администрации Колпашевского района от 18.19.2018 № 994 "Об утверждении порядка компенсации расходов по оплате найма жилого помещения" (в редакции от 27.06.2019 № 685)</t>
  </si>
  <si>
    <t>Постановление Адми нистрации Колпашевского района от 14.03.2016 № 252 "Об утверждении Порядка предоставления мер социальной поддержки, предусмотренных решением Думы Колпашевского района от 27.11.2015 № 37" (в редакции от 06.12.2016 № 1330, от 27.03.2017 № 259, от 17.10.2018 № 116, от 28.01.2020 № 70)</t>
  </si>
  <si>
    <t>Постановление Администрации Колпашевского района от 16.11.2015 № 1160 "Об утверждении муниципальной программы "Развитие муниципальной системы образования Колпашевского района" (в редакции от 12.04.2016 № 371, от 15.08.2016 № 898, от 06.12.2016 № 1328, от 10.03.2017 № 196, от 29.12.2017 № 1380, от 05.09.2018 № 938, от 31.01.2019 № 71, от 17.06.2019 № 646, от 23.07.2019 № 790, от 16.12.2019 № 1435, от 27.01.2020 № 63)</t>
  </si>
  <si>
    <t>Постановление Адми нистрации Колпашевского района от 14.03.2016 № 252 "Об утверждении Порядка предоставления мер социальной поддержки, предусмотренных решением Думы Колпашевского района от 27.11.2015 № 37" (в редакции от 06.12.2016 № 1330, от 27.03.2017 № 259, от 17.10.2018 № 1116, от 28.01.2020 № 70)</t>
  </si>
  <si>
    <t>Постановление Администрации Колпашевского района от 16.11.2015 № 1160 "Об утверждении муниципальной программы "Развитие муниципальной системы образования Колпашевского района" (в редакции от 12.04.2016 № 371, от 15.08.2016 № 898, от 06.12.2016 № 1328, от 10.03.2017 № 196, от 29.12.2017 № 1380, от 05.09.2018 № 38,от 30.01.2019 № 71, от 17.06.2019 № 646, от 23.07.2019 № 790, от 16.12.2019 № 1435, от 27.01.2020 № 63)</t>
  </si>
  <si>
    <t>Постановление Администрации Томской области от 27.09.2019 N 342а "Об утверждении государственной программы "Развитие образования в Томской области"</t>
  </si>
  <si>
    <t>прил. №2 подпр.1</t>
  </si>
  <si>
    <t>Постановление Администрации Колпашевского района от 16.11.2015 № 1160 "Об утверждении муниципальной программы "Развитие муниципальной системы образования Колпашевского района" (в редакции от 12.04.2016 № 371, от 15.08.2016 № 898, от 06.12.2016 № 1328, от 10.03.2017 № 196, от 29.12.2017 № 1380, от 05.09.2018 № 38, от 30.01.2019 № 71, от 17.06.2019 № 646, от 23.07.2019 № 790, от 16.12.2019 № 1435, 27.01.2020 № 63)</t>
  </si>
  <si>
    <t>Постановление Администрации Томской области от 27.09.2019 N 361а "Об утверждении государственной программы "Социальная поддержка населения Томской области"</t>
  </si>
  <si>
    <t>Подпрограмма 4</t>
  </si>
  <si>
    <t>Постановление Главы Колпашевского района от 25.04.2014 № 68 "Об утверждении положения об оплате труда и ежегодных основных оплачиваемых отпусках, ежегодных дополнительных оплачиваемых отпусках работников муниципальных архивных учреждений" (в редакции от 09.02.2015 № 18, от 15.09.2016 № 217, от 04.10.2016 № 233, от 09.02.2017 № 20, от 02.06.2017 № 96, от 30.01.2018 № 16, от 11.02.2019 № 28, от 23.10.2019 № 201)</t>
  </si>
  <si>
    <t>Постановление Администрации Томской области от 27.09.2019 № 347а "Об утверждении государственной программы "Развитие культуры и туризма в Томской области"</t>
  </si>
  <si>
    <t>Прил. № 4</t>
  </si>
  <si>
    <t>Прил. № 3</t>
  </si>
  <si>
    <t>Постановление Администрации Колпашевского района от 16.12.2015 № 1301 "Об утверждении Порядка формирования муниципального задания в отношении муниципальных учреждений муниципального образования "Колпашевский район" и Порядка финансового обеспечения выполнения муниципального задания муниципальными учреждениями в муниципальном образовании "Колпашевский район" (в редакции от 18.01.2016 № 11, от 06.07.2016 № 738, от 11.11.2016 № 1250, от 21.01.2017 № 120, от 27.10.2017 № 1134, от 09.10.2018 № 1072, от 05.12.2018 № 1306)</t>
  </si>
  <si>
    <t>Постановление Администрации Колпашевского района от 21.03.2016 № 278 "Об утверждении муниципальной программы "Развитие культуры и туризма в Колпашевском районе" (в редакции от 04.04.2016 № 336, от 01.06.2016 № 610, от 04.10.2016 № 1112, от 15.11.2016 № 1253, от 14.12.2016 № 1361, от 30.12.2016 № 1448, от 10.03.2017 № 192, от 29.12.2017 № 1381, от 18.05.2018 № 431, от 04.02.2019 № 99, от 26.07.2019 № 811, от 19.12.2019 № 1452, от 21.02.2020 № 173)</t>
  </si>
  <si>
    <t>ПостановлениеАдминистрации Колпашевского района от 16.08.2013 № 834 "Об утверждении муниципальной программы "Устойчивое развитие сельских территорий муниципального образования Колпашевский район Томской области на 2014-2017 годы и на период до 2020 года" (в редакции от 02.06.2014 № 506, от 18.08.2014 № 807, от 29.12.2014 № 1631, от 17.06.2015, от 24.09.2015 № 976, от 18.12.2015 № 1326, от 06.09.2016 № 1025, от 29.09.2016 № 1098, от 27.12.2016 № 1424, от 02.06.2017 № 504, от 27.12.2017 № 1366, от 14.01.2019 № 11, от 25.06.2019 № 671, от 31.01.2020 № 89)</t>
  </si>
  <si>
    <t>Постановление Администрации Колпашевского района от 07.02.2018 № 93 "Об утверждении положений о предоставлении субсидий сельскохозяйственным товаропроизводителям из бюджета муниципального образования "Колпашевский район" (в редакции от 25.05.2018 № 449, от 08.02.2019 № 115, от 19.03.2019 № 250, от 19.12.2019 № 1454)</t>
  </si>
  <si>
    <t>Постановление Администрации Томской области от 27.09.2019 № 360а "Об утверждении государственной программы "Развитие предпринимательства и повышение эффективности государственного управления социально-экономическим развитием Томской области"</t>
  </si>
  <si>
    <t>Подпрограмма 1, соотв. Порядок</t>
  </si>
  <si>
    <t>Постановление Администрации Колпашевского района от 19.06.2018 № 543 «О порядке предоставления субсидии на обеспечение деятельности бизнес-инкубатора Колпашевского района производственного и офисного назначения» (в редакции от 17.12.2018 № 1358, от 07.02.2020 № 116)</t>
  </si>
  <si>
    <t>Постановление Администрации Колпашевского района от 25.11.2015 № 1191 "О порядке предоставления субсидий субъектам малого и среднего предпринимательства, осуществляющим деятельность в сфере рыбного хозяйства" (в редакции от 07.12.2015 № 1246, от 16.12.2015 № 1300, от 29.06.2017 № 609, от 27.12.2017 № 1373, от 01.02.2018 № 66, от 02.04.2019 № 312)</t>
  </si>
  <si>
    <t>Постановление Администрации Колпашевского района от 10.10.2018 № 1081 "Об утверждении муниципальной программы "Развитие предпринимательства в Колпашевском районе" (в редакции от 13.12.2018 № 1349, от 17.01.2020 № 15)</t>
  </si>
  <si>
    <t>Решение Думы Колпашевского района от 30.03.2007 № 307 "Об утверждении Положения об обеспечении условий для развития на территории муниципальногообразования "Колпашевский район"физической культуры и массового спорта , организация проведения официальных физкультурно-оздоровительных мероприятий Колпашевского района (в редакции от 30.08.2007 № 356, от 28.08.2007 № 525, от 24.05.2010 № 835, от 25.04.2011 № 39, от 23.04.2012 № 68, от 15.12.2014 № 155, от 30.05.2016 № 50, от 24.08.2016 № 67, от 30.05.2017 № 41, от 28.09.2017 № 82, от 18.06.2018 № 41, от 26.02.2020 № 23)</t>
  </si>
  <si>
    <t>Постановление Администрации Томской области от 27.09.2019 N 345а "Об утверждении государственной программы "Развитие молодежной политики, физической культуры и спорта в Томской области"</t>
  </si>
  <si>
    <t>Прил. № 1 подпр. 2</t>
  </si>
  <si>
    <t>Прил. № 8 подпр 2</t>
  </si>
  <si>
    <t>Прил. к подпр 1</t>
  </si>
  <si>
    <t>Постановление Администрации Колпашевского района от 31.03.2016 № 334 "Об утверждении муниципальной программы "Развитие молодежной политики, физической культуры и массового спорта на территории муниципального образования "Колпашевский район" (в редакции от 27.04.2016 № 420, от 21.06.2016 № 686, от 09.09.2016 № 1051, от 24.11.2016 № 1286, от 21.12.2016 № 1381, от 29.12.2016 № 1439, от 03.03.2017 № 158, от 15.03.2017 № 214, от 13.06.2017 № 529, от 29.12.2017 № 1382, от 17.08.2018 № 861, от15.01.2019 № 116, от 17.05.219 № 488, от 16.08.2019 № 934, от 08.11.2019 № 1233, от 27.01.2020 № 62)</t>
  </si>
  <si>
    <t>Прил. № 5 к подпр 2</t>
  </si>
  <si>
    <t>Прил. № 3 к подпр 2</t>
  </si>
  <si>
    <t>Решение Думы Колпашевского района от 29.11.2006 № 240 "Об утверждении Положения "Об организации и осуществлении мероприятий межпоселенческого характера по работе с детьми и молодежью на территории муниципального образования "Колпашевский район" (в редакции от 15.12.2014 № 162, от 25.03.2015 № 31, от 18.12.2019 № 142, от 26.02.2020 № 27)</t>
  </si>
  <si>
    <t>Постановление Главы Колпашевского района от 03.12 2019 № 225 "О порядке расходования бюджетных ассигнований резервного фонда финансирования непредвиденных расходов Администрации Томской области" (распоряжение АТО от 15.11.2019 № 362-р-в)</t>
  </si>
  <si>
    <t>Прил, № 5</t>
  </si>
  <si>
    <t>Решение Думы Колпашевского района от 18.12.2019 № 141 "О принятии муниципальным образованием "Колпашевский район" осуществления части полномочий по решению вопроса местного значения "Организация библиотечного обслуживания населения, комплектование и обеспечение сохранности библиотечных фондов библиотек поселения"</t>
  </si>
  <si>
    <t>Решение Думы Колпашевского района от 25.03.2015 № 29 "О принятии муниципальным образованием "Колпашевский район" осуществления части полномочий по решению вопросов местного значения" (в редакции от 24.08.2016 № 65, от 18.12.2019 № 143)</t>
  </si>
  <si>
    <t>Постановление Администрации Колпашевского района от 24.12.2019 № 1480 "О порядке использования иных межбюджетных трансфертов из областного бюджета бюджетам муниципальных образований Томской области на поощрение муниципальных управленческих команд"</t>
  </si>
  <si>
    <t>Решение Думы Колпашевского района от 15.12.2014 № 151 "Об Управлении по культуре, спорту и молодёжной политике Администрации Колпашевского района и утверждении Положения об Управлении по культуре, спорту и молодёжной политике Администрации Колпашевского района" (в редакции от 28.06.2016 № 54, 25.09.2019 № 99)</t>
  </si>
  <si>
    <t>Решение Думы Колпашевского района от 10.12.2008 № 580 "Об утверждении Положения об оплате труда и ежегодных основных оплачиваемых отпусках работников органов местного самоуправления Колпашевского района и работников органов Администрации Колпашевского района" (в редакции от 17.06.2010 № 853, от 14.02.2011 № 18, от 20.06.2011 № 61, от 06.07.2011 № 77, от 30.09.2011 № 112, от 23.04.2012 № 47, от 24.05.2012 № 87, от 10.09.2012 № 124, от 19.11.2012 № 144, от 27.03.2013 № 28, от 16.07.2013 № 63, от 30.01.2014 № 13, от 15.12.2014 № 164, от 25.03.2015 № 23, от 24.08.2016 № 71, от 16.02.2016 № 6, от 30.05.2017 № 45, от 29.09.2017 № 87, от 25.01.2018 № 1, от 24.04.2019 № 40, от 25.11.2019 № 122)</t>
  </si>
  <si>
    <t>Решение Думы Колпашевского района от 31.05.2006 № 154 "Об учреждении Управления образования Администрации Колпашевского района и утверждении Положения об Управлении образования Администрации Колпашевского района" (в редакции от 31.10.2006 № 221, от 14.02.2011 № 2, от 20.06.2011 № 58, от 30.01.2014 № 4, от 29.05.2015 № 45,от 02.11.2015 № 7, от 30.05.2017 № 40)</t>
  </si>
  <si>
    <t>Постановление Администрации Томской области от 25.09.2019 № 337а "Об утверждении государственной программы "Жилье и городская среда Томской области"</t>
  </si>
  <si>
    <t>Подпр.1 прил.1 прил.2</t>
  </si>
  <si>
    <t>Постановление Администрации Томской области от 26.09.2019 N 338а "Об утверждении государственной программы "Развитие сельского хозяйства, рынков сырья и продовольствия в Томской области"</t>
  </si>
  <si>
    <t>Постановление Правительства РФ от 14.07.2012 N 717 "О Государственной программе развития сельского хозяйства и регулирования рынков сельскохозяйственной продукции, сырья и продовольствия"</t>
  </si>
  <si>
    <t>Прил 6</t>
  </si>
  <si>
    <t>01.08.2013- 31.12.2025</t>
  </si>
  <si>
    <t>Решение Думы Колпашевского района от 19.12.2012 № 160 "О Почетной грамоте и Благодарственном письме Думы Колпашевского района" (в редакции от 25.11.2013 № 110, от 21.12.2015 № 64, от 26.02.2020 № 32)</t>
  </si>
  <si>
    <t>ст. 1-2</t>
  </si>
  <si>
    <t>п. 44.2) ст. 26.3.</t>
  </si>
  <si>
    <t>19.10.1999, не установлен</t>
  </si>
  <si>
    <t>Федеральный закон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</si>
  <si>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Постановление Администрации Колпашевского района от 30.06.2010 № 861 "Об установлении расходного бязательства МО "Колпашевский район" по осуществлению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(в редакции от 18.03.2015 № 307)</t>
  </si>
  <si>
    <t>Решение Думы Колпашевского района от 26.02.2020 № 19 "О предоставлении субвенций местным бюджетам на осуществление первичного воинского учета на территориях, где отсутствуют военные комиссариаты"</t>
  </si>
  <si>
    <t>Постановление Администрации Томской области от 26.09.2019 года № 339а «Об утверждении государственной программы «Улучшение инвестиционного климата и развитие экспорта Томской области»</t>
  </si>
  <si>
    <t>Подпр.3
прил. 1</t>
  </si>
  <si>
    <t>Постановление Администрации Колпашевского района от 27.09.2019 № 346а "Об утверждении государственной программы "Развитие инфраструктуры в Томской области"</t>
  </si>
  <si>
    <t>Прил.2</t>
  </si>
  <si>
    <t>Постановление Администрации Томской области от 26.09.2019 N 340а "Об утверждении государственной программы "Развитие транспортной инфраструктуры в Томской области"</t>
  </si>
  <si>
    <t>Подпр.2
прил.1</t>
  </si>
  <si>
    <t>Постановление Администрации Томской области от 11.10.2017 N 363а "О предоставлении и расходовании субсидий бюджетам муниципальных образований Томской области для софинансирования расходных обязательств по решению вопросов местного значения, возникающих в связи с реализацией проектов, предложенных непосредственно населением муниципальных образований Томской области, отобранных на конкурсной основе"</t>
  </si>
  <si>
    <t>16.10.2017, не установлен</t>
  </si>
  <si>
    <t>Постановление Администрации Томской области от 25.09.2019 N 337а "Об утверждении государственной программы "Жилье и городская среда Томской области"</t>
  </si>
  <si>
    <t>Прил. 1 к подпр. Обеспечение доступности и комфортности жилища</t>
  </si>
  <si>
    <t>Подпр.1
прил.2</t>
  </si>
  <si>
    <t>Постановление Администрации Томской области от 27.09.2019 N 345а "Об утверждении государственной программы "Развитие молодежной политики, физической культуры и спорта в Томской области"</t>
  </si>
  <si>
    <t>Подпр.2 Прил.8</t>
  </si>
  <si>
    <t>Постановление Администрации Томской области от 27.02.2008 N 32а "Об утверждении Порядка использования бюджетных ассигнований резервного 
фонда финансирования непредвиденных расходов Администрации Томской области"</t>
  </si>
  <si>
    <t>п.п.6 п.5</t>
  </si>
  <si>
    <t>Постановление Администрации Томской области от 27.09.019 N 357а "Об утверждении государственной программы "Обращение с отходами, в том числе с твердыми коммунальными отходами, на территории Томской области"</t>
  </si>
  <si>
    <t>01.01.2020- 31.12.2024</t>
  </si>
  <si>
    <t>Подпр.1 Прил. 4</t>
  </si>
  <si>
    <t>Постановление Администрации Томской области от 25.09.2019 N 337а "Об утверждении государственной программы "Жилье и городская среда Томской области"</t>
  </si>
  <si>
    <t>Прил.1</t>
  </si>
  <si>
    <t>Постановление Администрации томской области от 26.09.2019 № 338а "Об утверждении государственной программы "Развитие сельского хозяйства, рынков сырья и продовольствия в Томской области"</t>
  </si>
  <si>
    <t>Прил. к подпр.1</t>
  </si>
  <si>
    <t>01.01.2020-31.12.2024</t>
  </si>
  <si>
    <t>1.6.4.2.15.3. Субсидия местным бюджетам на 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 в рамках государственной программы "Комплексное развитие сельских территорий Томской области"</t>
  </si>
  <si>
    <t>Постановление Администрации Томской области от 27.09.2019 N 358а "Об утверждении государственной программы "Комплексное развитие сельских территорий Томской области"</t>
  </si>
  <si>
    <t>Подпр.1  Прил.3</t>
  </si>
  <si>
    <t>(218 597)</t>
  </si>
  <si>
    <t>1.6.4.2.15.1.  Субсидия на обеспечение жителей отдаленных населенных пунктов Томской области услугами связи в рамках государственной программы "Развитие транспортной инфраструктуры в Томской области"</t>
  </si>
  <si>
    <t>Постановление Администрации Томской области от 26.09.2019 N 340а "Об утверждении государственной программы "Развитие транспортной инфраструктуры в Томской области"</t>
  </si>
  <si>
    <t>Подпр.1 прил.3</t>
  </si>
  <si>
    <t>Постановление Администрации Томской области от 27.09.2019 № 346а "Об утверждении государственной программы "Развитие коммунальной инфраструктуры в Томской области"</t>
  </si>
  <si>
    <t>Прил.3</t>
  </si>
  <si>
    <t>Подпр.1 Прил. 2</t>
  </si>
  <si>
    <t>Постановление Администрации Томской области от 27 сентября 2019 г. N 357а 
"Об утверждении государственной программы "Обращение с отходами, в том числе с твердыми коммунальными отходами, на территории Томской области"</t>
  </si>
  <si>
    <t>Подпр.1 Прил.3</t>
  </si>
  <si>
    <t>Постановление Администрации Томской области от 27 сентября 2019 г. N 342а 
"Об утверждении государственной программы "Развитие образования в Томской области"</t>
  </si>
  <si>
    <t>Прил. 6</t>
  </si>
  <si>
    <t>1.6.2.2.1.20. Иные межбюджетные трансферты на организацию электроснабжения от дизельных электростанций</t>
  </si>
  <si>
    <t>1.6.2.2.1.21. Иные межбюджетные трансферты на организацию теплоснабжения населения</t>
  </si>
  <si>
    <t>(100 321) (100 301)</t>
  </si>
  <si>
    <t>2314 (100 310)</t>
  </si>
  <si>
    <t>(100 323) (100 308)</t>
  </si>
  <si>
    <t>1.6.4.2.26.2.6. МБТ из резервного фонда финансирования непредвиденных расходов Администрации Томской области (в соответствии с распоряжением АТО от 20.02.2020 № 32-р-в)</t>
  </si>
  <si>
    <t>Постановление Администрации Колпашевского района от 14.02.2020 № 144 "О предоставлении бюджету муниципального образования "Саровское сельское поселение" иных межбюджетных трансфертов на обеспечение деятельности добровольной пожарной команды в д.Тискино Саровского сельского поселения"</t>
  </si>
  <si>
    <t>14.02.2020- 23.12.2020</t>
  </si>
  <si>
    <t>Решение Думы Колпашевского района от 26.02.2020 № 25 "О предоставлении иных межбюджетных трансфертов бюджету муниципального образования "Колпашевское городское поселение" на приобретение и монтаж звукового оборудования для обеспечения звукового сопровождения мероприятий в г.Колпашево"</t>
  </si>
  <si>
    <t>26.02.2020- 25.12.2020</t>
  </si>
  <si>
    <t>Решение думы Колпашевского района от 26.02.2020 № 26 "О предоставлении и распределении иных межбюджетных трансфертов бюджетам поселений Колпашевского района на обеспечение комплексного развития сельских территорий (реализация проектов по благоустройству сельских территорий)"</t>
  </si>
  <si>
    <t>Решение Думы Колпашевского района от 26.02.2020 № 28 "О предоставлении иных межбюджетных трансфертов бюджету муниципального образования "Инкинское сельское поселение" на организацию электроснабжения от дизельных электростанций"</t>
  </si>
  <si>
    <t>26.02.2020-25.12.2020</t>
  </si>
  <si>
    <t>Решение Думы Колпашевского района от 26.02.2020 № 29 "О предоставлении иных межбюджетных трансфертов бюджету муниципального образования "Колпашевское городское поселение" на организацию теплоснабжения населения"</t>
  </si>
  <si>
    <t>26.02.2020- 04.12.2020</t>
  </si>
  <si>
    <t>Постановление Админи страции Колпашевского района от 28.02.2020 № 196 "О порядке расходования в 2020 году средств субсидии из областного бюджета бюджету муниципального образования "Колпашевский район" на капитальный ремонт муниципальных дошкольных образовательных организаций (включая разработку проектной документации) в рамках государственной программы "Развитие образования в Томской области" (капитальный ремонт Озёренского детского сада в Колпашевском районе)"</t>
  </si>
  <si>
    <t>28.02.2020- 31.12.2020</t>
  </si>
  <si>
    <t>Постановление Администрации Томской области от 25.09.2019 N 337а "Об утверждении государственной программы "Жилье и городская среда Томской области"</t>
  </si>
  <si>
    <t>Подпр. 1 прил.1</t>
  </si>
  <si>
    <t>Постановление Администрации Колпашевского района от 04.03.2020 № 205 "О порядке расходования средств субсидии местному бюджету из областного бюджета на предоставление социальных выплат молодым семьям на приобретение (строительство) жилья"</t>
  </si>
  <si>
    <t>04.03.2020- 31.12.2020</t>
  </si>
  <si>
    <t>Постановление Администрации Колпашевского райорна от 06.03.2020 № 231 "О порядке расходования средств субсидии из бюджета Томской области о предоставлении субсидии местному бюджету из областного бюджета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</si>
  <si>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06.03.2020- 31.12.2020</t>
  </si>
  <si>
    <t>Постановление Администрации Колпашевского района от 06.03.2020 № 231 "О порядке расходования средств субсидии из бюджета Томской области о предоставлении субсидии местному бюджету из областного бюджета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</si>
  <si>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06.03.2020-31.12.2020</t>
  </si>
  <si>
    <t>Постановление Администрации Колпашевского района от  06.03.2020 № 231 "О порядке расходования средств субсидии из бюджета Томской области о предоставлении субсидии местному бюджету из областного бюджета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</si>
  <si>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Постановление Администрации Колпашевского района от 09.04.2014 № 324 "О порядке расходования средств субсидии из областного бюджета на стимулирующие выплаты в муниципальных организациях дополнительного образования в Томской области (в редакции постановлений от 16.03.2015 № 294, от 21.03.2016 № 286, от 17.03.2017 № 227, от 26.03.2018 № 251, от 19.03.2019 № 251, от 11.03.2020 № 237)</t>
  </si>
  <si>
    <t>Постановление Администрации Колпашевского района от 14.05.2015 № 480 "О порядке расходования средств иных межбюджетных трансфертов, предоставленных из областного бюджета и средств бюджета муниципального образования "Колпашевский район"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 редакции от 30.06.2016 № 713, от 18.10.2016 № 1143, от 20.12.2016 № 1373, от 25.04.2017 № 367, от 16.11.2017 № 1200, от 22.03.2018 № 237, от 02.07.2018 № 647, от 11.06.2019 № 612, от 12.08.2019 № 890, от 27.12.2019 № 1496, от 12.03.2020 № 245)</t>
  </si>
  <si>
    <t>Постановление Администрации Колпашевского района от 12.03.2020 № 246 "О порядке расходования в 2020 году средств субсидии на создание и модернизацию объектов спортивной инфраструктуры для занятий физической культурой и спортом в рамках регионального проекта "Спорт - норма жизни" государственной программы "Развитие молодежной политики, физической культуры и спорта в Томской области" (Строительство физкультурно-оздоровительного комплекса с универсальным игровым залом для МАУДО "ДЮСШ им. О.Рахматулиной" по ул. Ленина, 52 в г. Колпашево Колпашевского района Томской области)"</t>
  </si>
  <si>
    <t>11.03.2020- 31.12.2020</t>
  </si>
  <si>
    <t>Постановление Администрации Колпашевского района от 18.03.2020 № 277 "О порядке расходования средств субсидии на обеспечение участия спортивных сборных команд муниципальных районов и городских округов Томской области в официальных региональных спортивных, физкультурных мероприятиях, проводимых на территории Томской области, за исключением спортивных сборных команд муниципального образования "Город Томск", муниципального образования "Городской округ - закрытое административно-территориальное образование Северск Томской области", муниципального образования "Томский район"</t>
  </si>
  <si>
    <t>18.03.2020- 31.12.2020</t>
  </si>
  <si>
    <t xml:space="preserve">1.1.1.17.8. расходы за счет резервных фондов Администрации Томской области </t>
  </si>
  <si>
    <t>1.1.1.17.7. Субсидия на обеспечение антитеррористической защиты объектов образования, выполнение мероприятий противодействия деструктивным идеологиям, модернизация систем противопожарной защиты</t>
  </si>
  <si>
    <t>(209 503)</t>
  </si>
  <si>
    <t>1.1.1.18.13. Субсидия на обеспечение антитеррористической защиты объектов образования, выполнение мероприятий противодействия деструктивным идеологиям, модернизация систем противопожарной защиты</t>
  </si>
  <si>
    <t>1.1.1.18.10.Софинансирование из местного бюджета на разработку проектно-сметной документации на строительство муниципальных обектов недвижимого имущества в сфере образования в рамках государственной программы "Развитие образования в Томской области" (Строительство общеобразовательной организации на 550 мест в г. Колпашево)</t>
  </si>
  <si>
    <t xml:space="preserve">1.1.1.19.16. расходы за счет резервных фондов Администрации Томской области </t>
  </si>
  <si>
    <t>1.1.1.19.15. Субсидия на обеспечение антитеррористической защиты объектов образования, выполнение мероприятий противодействия деструктивным идеологиям, модернизация систем противопожарной защиты</t>
  </si>
  <si>
    <t>1.1.1.19.12. Софинансирование из местного бюджета на капитальный ремонт муниципальных общеобразовательных организаций (включая разработку проектной документации) в рамках государственной программы "Развитие образования в Томской области" (Капитальный ремонт Озеренская СОШ в Колпашевском районе (ПСД))</t>
  </si>
  <si>
    <t>(226 803)</t>
  </si>
  <si>
    <t>(213 502)</t>
  </si>
  <si>
    <t>1.1.1.30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</si>
  <si>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1032</t>
  </si>
  <si>
    <t>(227 546)</t>
  </si>
  <si>
    <t>(227 547)</t>
  </si>
  <si>
    <t>1.1.1.83. участие в соответствии с Федеральным законом от 24 июля 2007 г.  № 221-ФЗ «О государственном кадастре недвижимости» в выполнении комплексных кадастровых работ на территории сельского поселения</t>
  </si>
  <si>
    <t>1085 (206 528)</t>
  </si>
  <si>
    <t>1.2.26. выплаты гражданам денежных вознаграждений в связи с присвоением почетных званий, получением наград, поощрений</t>
  </si>
  <si>
    <t>1226</t>
  </si>
  <si>
    <t>1085</t>
  </si>
  <si>
    <t>1.4.1.30. осуществление полномочий по проведению Всероссийской переписи населения 2020 года</t>
  </si>
  <si>
    <t>1731 (303 506)</t>
  </si>
  <si>
    <t>1.4.2.7.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</si>
  <si>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</si>
  <si>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</si>
  <si>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2001 (309 569, 309 588)</t>
  </si>
  <si>
    <t>2002 (309 569, 309 588)</t>
  </si>
  <si>
    <t>2106 (584)</t>
  </si>
  <si>
    <t>2107 (552, 563, 582)</t>
  </si>
  <si>
    <t>1.6.2.2.1.22. Иные межбюджетные трансферты на строительство объекта: "Очистные сооружения Колпашевского городского поселения"</t>
  </si>
  <si>
    <t>(100 315)</t>
  </si>
  <si>
    <t>1.6.4.2.26.2.7. Субсидия на софинансирование расходных обязательств по решению вопросов местного значения, возникающих в связи с реализацией проекта "Обустройство спортивно-игровой площадки по ул. Советская, уч. 29 в п. Большая Саровка" в Саровском сельском поселении, входящем в состав Колпашевского района Томской области</t>
  </si>
  <si>
    <t>1.6.4.2.26.2.8. Субсидия на софинансирование расходных обязательств по решению вопросов местного значения, возникающих в связи с реализацией проекта "Обустройство уличного освещения в г. Колпашево по ул. Портовая" в Колпашевском городском поселении, входящем в состав Колпашевского района Томской области</t>
  </si>
  <si>
    <t>1.6.4.2.26.2.9. Субсидия на софинансирование расходных обязательств по решению вопросов местного значения, возникающих в связи с реализацией проекта "Обустройство металлической изгороди и планировки сквера "Зеленый берег" по адресу: Томская область, Колпашевский район, с. Новоселово, ул. Центральная, 27/1" в Новоселовском сельском поселении, входящем в состав Колпашевского района Томской области</t>
  </si>
  <si>
    <t>2329 (100 306) (100 317)</t>
  </si>
  <si>
    <t>(213 542) (299 801)</t>
  </si>
  <si>
    <t>Решение думы колпашевского района от 25.03.2020 № 36 "О порядке расходования средств бюджетных ассигнований резервного фонда финансирования непредвиденных расходов Администрации Томской области на приобретение материалов для благоустройства аллеи славы в с. Новоильинка"</t>
  </si>
  <si>
    <t>25.03.2020- 31.12.2020</t>
  </si>
  <si>
    <t>Постановление Администрации Томской области от 27.10.2008 № 32а "Об утверждении Порядка использования бюджетных ассигнований резервного
фонда финансирования непредвиденных расходов Администрации
Томской области"</t>
  </si>
  <si>
    <t>Решение Думы Колпашевского района от 25.03.2020 № 37 "О предоставлении иных межбюджетных трансфертов бюджету муниципального образования "Колпашевское городское поселение" на строительство очистных сооружений Колпашевского городского поселения"</t>
  </si>
  <si>
    <t>25.03.2020-31.12.2020</t>
  </si>
  <si>
    <t>Решение Думы Колпашевского района от 25.03.2020 № 38 "О предоставлении иных межбюджетных трансфертов бюджету муниципального образования "Колпашевское городское поселение" на реализацию мероприятия "Повышение уровня благоустройства муниципальных территорий общего пользования" муниципальной программы "Формирование современной городской среды Колпашевского городского поселения на 2018 - 2022 г.г."</t>
  </si>
  <si>
    <t>Постановление Администрации Колпашевского района от 31.03.2020 № 346 "О порядке расходования средств субсидии из областного бюджета на 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муниципальных учреждений культуры"</t>
  </si>
  <si>
    <t>Постановление Администрации Колпашевского района от 24.07.2019 № 801 "О частичной оплате стоимости питания отдельных категорий обучающихся в муниципальных общеобразовательных организациях Колпашевского района, за исключением обучающихся с ограниченными возможностями здоровья" (в редакции от 12.08.2019 № 898, от 27.12.2019 № 1495, от 06.04.2020 № 358)</t>
  </si>
  <si>
    <t>Постановление Администрации колпашевского района от 09.04.2020 № 368 "О иных межбюджетных трансферах на капитальный ремонт и (или) ремонт автомобильных дорог общего пользования местного значения, предоставляемых бюджетам поселений Колпашевского района в 2020 году"</t>
  </si>
  <si>
    <t>09.04.2020- 31.12.2020</t>
  </si>
  <si>
    <t>постановление Администрации Колпашевского района от 24.05.2013 № 487 "О порядке расходования средств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учреждений дополнительного образования детей (в редакции от 22.04.2014 № 371, от 16.09.2014 № 948, от 05.06.2015 № 559, от 16.09.2015 № 943, от 21.12.2015 № 1344, от 04.03.2016 № 232, от 19.04.2017 № 354, от 07.02.2018 № 94, от 19.09.2018 № 995, от 26.04.2019 № 418, от 11.07.2019 № 740, от 10.04.2020 № 372)</t>
  </si>
  <si>
    <t>Постановление Администрация Колпашевского района от 15.04.2020 № 41 "О порядке и сроках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15.04.2020 № 41)</t>
  </si>
  <si>
    <t>15.04.2020- 31.12.2020</t>
  </si>
  <si>
    <t>Постановление Администрации Колпашевского района от 15.04.2020 № 42 "О порядке и сроках расходования бюджетных ассигнований резервного фонда финансирования непредвиденных расходов Администрации Томской области" (распоряжение АТО от 15.04.2020 № 42)</t>
  </si>
  <si>
    <t>Постановление Главы колпашевского района от 16.04.2020 "О перечислении средств иных межбюджетных трансфертов Колпашевскому городскому поселению на исполнение судебных актов"</t>
  </si>
  <si>
    <t>16.04.2020, не установлен</t>
  </si>
  <si>
    <t>Постановление Администрации Колпашевского района  от 19.12.2013 № 1336 «О порядке расходования средств иных межбюджетных трансфертов на организацию системы выявления, сопровождения одарённых детей» (в редакции постановлений Администрации Колпашевского района от 30.07.2014 № 752, от 22.05.2015 № 510, от 05.04.2016 № 340, от 21.06.2017 № 580, от 13.04.2018 № 328, от 11.04.2019 № 358, от 28.04.2020 № 430)</t>
  </si>
  <si>
    <t>Решение Думы Колпашевского района от 29.04.2020 № 49 "О предоставлении иных межбюджетных трансферов бюджетам поселений, входящих в состав муниципального образования "Колпашевский район" на софинансирование расходных обязательств по решению вопросов местного значения, возникающих в связи с реализацией проектов, предложенных непосредственно населением муниципальных образований Колпашевского района, входящих в состав Колпашевского района Томской области, победивших в конкурсном отборе"</t>
  </si>
  <si>
    <t>29.04.2020- 31.12.2020</t>
  </si>
  <si>
    <t>Постановление Администрации Колпашевского района от 09.04.2020 № 366 "О порядке расходования средств субсидии из областного бюджета и утверждении Порядка определения объёма и условия предоставления субсидии из средств бюджета муниципального образования "Колпашевский район" муниципальным бюджетным (автономным) образовательным организациям на приобретение оборудования для малобюджетных спортивных площадок по месту жительства и учёбы в муниципальных образованиях Томской области, за исключением муниципального образования "Город Томск", муниципального образования "Городской округ - ЗАТО Северск Томской области"</t>
  </si>
  <si>
    <t>Решение Думы Колпашевского района от 25.03.2020 № 35 "О предоставлении иных межбюджетных трансфертов бюджетам поселений Колпашевского района на реализацию мероприятия "Предоставление субсидий бюджетам муниципальных образований Томской области на подготовку проектов генерального плана, правил землепользования и застройки вновь образованных муниципальных образований" подпрограммы "Стимулирование развития жилищного строительства в Томской области" государственной программы "Обеспечение доступности жилья и улучшения качества жилищных условий населения Томской области"</t>
  </si>
  <si>
    <t>Постановление Администрации Колашевского района от 16.02.2016 № 141 "О порядке расходования средств субсидии на оплату труда руководителям и специалистам муниципальных учреждений культуры и искусства в части выплат надбавок и доплат к тарифной ставке (должностному окладу) из областного бюджета" (вредакции от 01.03.2017 № 150, от 06.10.2017 № 1020, от 13.02.2018 № 115, от 21.02.2019 № 163, от 22.04.2020 № 418)</t>
  </si>
  <si>
    <t>12.02.2016- 31.12.2020</t>
  </si>
  <si>
    <t>Постановление главы Колпашевского района от 16.04.2020 № 45 "О порядке расходования бюджетных ассигнований резервного фонда финансирования непредвиденных расходов Администрации Томской области" (распоряжение АТО от 20.03.2020 № 65-р-в)</t>
  </si>
  <si>
    <t>03.12.2019- 31.12.2019</t>
  </si>
  <si>
    <t>16.04.2020- 31.12.2020</t>
  </si>
  <si>
    <t>1.1.1.18.14. МП "Обеспечение безопасности  населения Колпашевского района"</t>
  </si>
  <si>
    <t>1.1.1.18.15. МП "Развитие муниципальной системы образования в Колпашевском районе"</t>
  </si>
  <si>
    <t xml:space="preserve">1.1.1.18.16. расходы за счет резервных фондов Администрации Томской области </t>
  </si>
  <si>
    <t>23.05.2013- 31.12.2020</t>
  </si>
  <si>
    <t>Постановление Администрации колпашевского района от 06.03.2020 № 231 "О порядке расходования средств субсидии из бюджета Томской области о предоставлении субсидии местному бюджету из областного бюджета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</si>
  <si>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08.06.2019- 31.12.2020</t>
  </si>
  <si>
    <t>Решение думы Колпашевского района от 27.05.2020 № 58 "О предоставлении иного межбюджетного трансферта бюджету муниципального образования "Новоселовское сельское поселение" на обеспечение жителей отдаленных населенных пунктов Томской области услугами связи"</t>
  </si>
  <si>
    <t>27.05.2020- 31.12.2020</t>
  </si>
  <si>
    <t>Решение Думы Колпашевского района от 29.04.2020 № 45 "О предоставлении иных межбюджетных трансфертов бюджету муниципального образования "Чажемтовское сельское поселение" на 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 (Строительство инженерных сетей и зданий соцкультбыта в новом микрорайоне комплексной застройки "Юбилейный" в с. Чажемто Колпашевского района Томской области. Линейные объекты)"</t>
  </si>
  <si>
    <t>Гл.3, ст.15, часть 1, п.п.18</t>
  </si>
  <si>
    <t>Решение Думы Колпашевского района от 27.05.2020 № 52 "О предоставлении иного межбюджетного трансферта бюджету муниципального образования "Колпашевское городское поселение" на укрепление материально-технической базы"</t>
  </si>
  <si>
    <t>Решение Думы Колпашевского района от 27.05.2020 № 53 "О предоставлении иного межбюджетного трансферта бюджету муниципального образования "Новогоренское сельское поселение" на приобретение спортивного инвентаря и оборудования"</t>
  </si>
  <si>
    <t>Решение Думы Колпашевского района от 31.01.2020 № 7 "О предоставлении иных межбюджетных трансфертов на приобретение нежилого здания в п.Большая Саровка Саровского сельского поселения Колпашевского района"</t>
  </si>
  <si>
    <t>Реестр расходных обязательств муниципального образования "Колпашевский район" на 2020 год</t>
  </si>
  <si>
    <t>проект на 2021 год</t>
  </si>
</sst>
</file>

<file path=xl/styles.xml><?xml version="1.0" encoding="utf-8"?>
<styleSheet xmlns="http://schemas.openxmlformats.org/spreadsheetml/2006/main">
  <numFmts count="4">
    <numFmt numFmtId="164" formatCode="[$-10419]#,##0.0;\-#,##0.0"/>
    <numFmt numFmtId="165" formatCode="#,##0.0_ ;\-#,##0.0\ "/>
    <numFmt numFmtId="166" formatCode="#,##0.0"/>
    <numFmt numFmtId="168" formatCode="#,##0.000"/>
  </numFmts>
  <fonts count="22">
    <font>
      <sz val="10"/>
      <name val="Arial"/>
    </font>
    <font>
      <sz val="10"/>
      <name val="Arial"/>
      <family val="2"/>
      <charset val="204"/>
    </font>
    <font>
      <sz val="14"/>
      <name val="Times New Roman"/>
      <family val="1"/>
      <charset val="204"/>
    </font>
    <font>
      <sz val="9"/>
      <name val="Times New Roman CYR"/>
      <family val="1"/>
      <charset val="204"/>
    </font>
    <font>
      <sz val="9"/>
      <name val="Times New Roman"/>
      <family val="1"/>
      <charset val="204"/>
    </font>
    <font>
      <sz val="10"/>
      <name val="Arial"/>
      <family val="2"/>
      <charset val="204"/>
    </font>
    <font>
      <sz val="9"/>
      <name val="Times New Roman CYR"/>
      <charset val="204"/>
    </font>
    <font>
      <b/>
      <sz val="9"/>
      <name val="Times New Roman"/>
      <family val="1"/>
      <charset val="204"/>
    </font>
    <font>
      <b/>
      <i/>
      <sz val="9"/>
      <name val="Times New Roman"/>
      <family val="1"/>
      <charset val="204"/>
    </font>
    <font>
      <b/>
      <sz val="9"/>
      <name val="Times New Roman CYR"/>
      <family val="1"/>
      <charset val="204"/>
    </font>
    <font>
      <b/>
      <sz val="9"/>
      <name val="Times New Roman CYR"/>
      <charset val="204"/>
    </font>
    <font>
      <sz val="9"/>
      <name val="Arial Cyr"/>
      <charset val="204"/>
    </font>
    <font>
      <sz val="10"/>
      <name val="Times New Roman"/>
      <family val="1"/>
      <charset val="204"/>
    </font>
    <font>
      <sz val="6"/>
      <name val="Arial"/>
      <family val="2"/>
      <charset val="204"/>
    </font>
    <font>
      <sz val="8"/>
      <name val="Arial"/>
      <family val="2"/>
      <charset val="204"/>
    </font>
    <font>
      <sz val="8"/>
      <name val="Times New Roman"/>
      <family val="1"/>
      <charset val="204"/>
    </font>
    <font>
      <b/>
      <sz val="14"/>
      <name val="Times New Roman"/>
      <family val="1"/>
      <charset val="204"/>
    </font>
    <font>
      <i/>
      <sz val="9"/>
      <name val="Times New Roman"/>
      <family val="1"/>
      <charset val="204"/>
    </font>
    <font>
      <sz val="9"/>
      <color indexed="8"/>
      <name val="Times New Roman"/>
      <family val="1"/>
      <charset val="204"/>
    </font>
    <font>
      <b/>
      <i/>
      <sz val="9"/>
      <name val="Times New Roman CYR"/>
      <family val="1"/>
      <charset val="204"/>
    </font>
    <font>
      <sz val="9"/>
      <color rgb="FFFF0000"/>
      <name val="Times New Roman"/>
      <family val="1"/>
      <charset val="204"/>
    </font>
    <font>
      <sz val="8"/>
      <name val="Arial Cy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2" tint="-0.249977111117893"/>
        <bgColor indexed="64"/>
      </patternFill>
    </fill>
  </fills>
  <borders count="57">
    <border>
      <left/>
      <right/>
      <top/>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style="thin">
        <color indexed="64"/>
      </left>
      <right/>
      <top/>
      <bottom/>
      <diagonal/>
    </border>
    <border>
      <left style="thin">
        <color indexed="8"/>
      </left>
      <right style="thin">
        <color indexed="64"/>
      </right>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right/>
      <top style="thin">
        <color indexed="8"/>
      </top>
      <bottom/>
      <diagonal/>
    </border>
    <border>
      <left style="thin">
        <color indexed="64"/>
      </left>
      <right style="thin">
        <color indexed="64"/>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64"/>
      </left>
      <right style="thin">
        <color indexed="64"/>
      </right>
      <top/>
      <bottom style="thin">
        <color indexed="8"/>
      </bottom>
      <diagonal/>
    </border>
    <border>
      <left style="thin">
        <color indexed="64"/>
      </left>
      <right style="thin">
        <color indexed="8"/>
      </right>
      <top/>
      <bottom style="thin">
        <color indexed="8"/>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64"/>
      </bottom>
      <diagonal/>
    </border>
    <border>
      <left style="thin">
        <color indexed="64"/>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style="thin">
        <color indexed="64"/>
      </left>
      <right/>
      <top style="thin">
        <color indexed="8"/>
      </top>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style="thin">
        <color indexed="8"/>
      </bottom>
      <diagonal/>
    </border>
    <border>
      <left style="thin">
        <color indexed="8"/>
      </left>
      <right/>
      <top style="thin">
        <color indexed="8"/>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8"/>
      </top>
      <bottom style="thin">
        <color indexed="8"/>
      </bottom>
      <diagonal/>
    </border>
    <border>
      <left/>
      <right style="thin">
        <color indexed="64"/>
      </right>
      <top/>
      <bottom/>
      <diagonal/>
    </border>
    <border>
      <left style="thin">
        <color indexed="64"/>
      </left>
      <right style="thin">
        <color indexed="8"/>
      </right>
      <top style="thin">
        <color indexed="64"/>
      </top>
      <bottom/>
      <diagonal/>
    </border>
    <border>
      <left style="thin">
        <color indexed="8"/>
      </left>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right/>
      <top/>
      <bottom style="thin">
        <color indexed="8"/>
      </bottom>
      <diagonal/>
    </border>
    <border>
      <left/>
      <right style="thin">
        <color indexed="64"/>
      </right>
      <top style="thin">
        <color indexed="64"/>
      </top>
      <bottom/>
      <diagonal/>
    </border>
    <border>
      <left/>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8"/>
      </bottom>
      <diagonal/>
    </border>
  </borders>
  <cellStyleXfs count="2">
    <xf numFmtId="0" fontId="0" fillId="0" borderId="0"/>
    <xf numFmtId="0" fontId="5" fillId="0" borderId="0"/>
  </cellStyleXfs>
  <cellXfs count="677">
    <xf numFmtId="0" fontId="0" fillId="0" borderId="0" xfId="0"/>
    <xf numFmtId="0" fontId="4" fillId="0" borderId="1" xfId="0" applyNumberFormat="1" applyFont="1" applyFill="1" applyBorder="1" applyAlignment="1" applyProtection="1">
      <alignment horizontal="center" vertical="center" wrapText="1" shrinkToFit="1"/>
      <protection locked="0"/>
    </xf>
    <xf numFmtId="0" fontId="9" fillId="0" borderId="3" xfId="0" applyNumberFormat="1" applyFont="1" applyFill="1" applyBorder="1" applyAlignment="1" applyProtection="1">
      <alignment horizontal="center" vertical="center" wrapText="1" shrinkToFit="1"/>
      <protection locked="0"/>
    </xf>
    <xf numFmtId="0" fontId="7" fillId="0" borderId="3" xfId="1" applyNumberFormat="1"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wrapText="1" shrinkToFit="1"/>
      <protection locked="0"/>
    </xf>
    <xf numFmtId="0" fontId="8" fillId="0" borderId="3" xfId="1" applyNumberFormat="1" applyFont="1" applyFill="1" applyBorder="1" applyAlignment="1">
      <alignment horizontal="center" vertical="center" wrapText="1"/>
    </xf>
    <xf numFmtId="0" fontId="8" fillId="0" borderId="3" xfId="0" applyNumberFormat="1" applyFont="1" applyFill="1" applyBorder="1" applyAlignment="1" applyProtection="1">
      <alignment horizontal="center" vertical="center" wrapText="1" shrinkToFit="1"/>
      <protection locked="0"/>
    </xf>
    <xf numFmtId="0" fontId="4" fillId="0" borderId="2" xfId="0" applyNumberFormat="1" applyFont="1" applyFill="1" applyBorder="1" applyAlignment="1" applyProtection="1">
      <alignment horizontal="center" vertical="center" wrapText="1" shrinkToFit="1"/>
      <protection locked="0"/>
    </xf>
    <xf numFmtId="14" fontId="4" fillId="0" borderId="2" xfId="0" applyNumberFormat="1" applyFont="1" applyFill="1" applyBorder="1" applyAlignment="1" applyProtection="1">
      <alignment horizontal="center" vertical="center" wrapText="1" shrinkToFit="1"/>
      <protection locked="0"/>
    </xf>
    <xf numFmtId="14" fontId="4" fillId="0" borderId="2" xfId="0" applyNumberFormat="1" applyFont="1" applyFill="1" applyBorder="1" applyAlignment="1" applyProtection="1">
      <alignment horizontal="center" vertical="top" wrapText="1" shrinkToFit="1"/>
      <protection locked="0"/>
    </xf>
    <xf numFmtId="14" fontId="4" fillId="0" borderId="1" xfId="0" applyNumberFormat="1" applyFont="1" applyFill="1" applyBorder="1" applyAlignment="1" applyProtection="1">
      <alignment horizontal="center" vertical="center" wrapText="1" shrinkToFit="1"/>
      <protection locked="0"/>
    </xf>
    <xf numFmtId="0" fontId="4" fillId="0" borderId="5" xfId="0" applyNumberFormat="1" applyFont="1" applyFill="1" applyBorder="1" applyAlignment="1" applyProtection="1">
      <alignment horizontal="center" vertical="center" wrapText="1" shrinkToFit="1"/>
      <protection locked="0"/>
    </xf>
    <xf numFmtId="0" fontId="7" fillId="0" borderId="5" xfId="0" applyNumberFormat="1" applyFont="1" applyFill="1" applyBorder="1" applyAlignment="1" applyProtection="1">
      <alignment horizontal="center" vertical="center" wrapText="1" shrinkToFit="1"/>
      <protection locked="0"/>
    </xf>
    <xf numFmtId="14" fontId="7" fillId="0" borderId="5" xfId="0" applyNumberFormat="1" applyFont="1" applyFill="1" applyBorder="1" applyAlignment="1" applyProtection="1">
      <alignment horizontal="center" vertical="center" wrapText="1" shrinkToFit="1"/>
      <protection locked="0"/>
    </xf>
    <xf numFmtId="0" fontId="8" fillId="0" borderId="5" xfId="0" applyNumberFormat="1" applyFont="1" applyFill="1" applyBorder="1" applyAlignment="1" applyProtection="1">
      <alignment horizontal="center" vertical="center" wrapText="1" shrinkToFit="1"/>
      <protection locked="0"/>
    </xf>
    <xf numFmtId="0" fontId="9" fillId="0" borderId="5" xfId="0" applyNumberFormat="1" applyFont="1" applyFill="1" applyBorder="1" applyAlignment="1" applyProtection="1">
      <alignment horizontal="center" vertical="center" wrapText="1" shrinkToFit="1"/>
      <protection locked="0"/>
    </xf>
    <xf numFmtId="0" fontId="3" fillId="0" borderId="8" xfId="0" applyNumberFormat="1" applyFont="1" applyFill="1" applyBorder="1" applyAlignment="1" applyProtection="1">
      <alignment horizontal="center" vertical="top" wrapText="1" shrinkToFit="1"/>
      <protection locked="0"/>
    </xf>
    <xf numFmtId="0" fontId="9" fillId="0" borderId="10" xfId="0" applyNumberFormat="1" applyFont="1" applyFill="1" applyBorder="1" applyAlignment="1" applyProtection="1">
      <alignment vertical="center" wrapText="1" shrinkToFit="1"/>
      <protection locked="0"/>
    </xf>
    <xf numFmtId="0" fontId="9" fillId="0" borderId="1" xfId="0" applyNumberFormat="1" applyFont="1" applyFill="1" applyBorder="1" applyAlignment="1" applyProtection="1">
      <alignment vertical="center" wrapText="1" shrinkToFit="1"/>
      <protection locked="0"/>
    </xf>
    <xf numFmtId="0" fontId="9" fillId="0" borderId="8" xfId="0" applyNumberFormat="1" applyFont="1" applyFill="1" applyBorder="1" applyAlignment="1" applyProtection="1">
      <alignment vertical="center" wrapText="1" shrinkToFit="1"/>
      <protection locked="0"/>
    </xf>
    <xf numFmtId="164" fontId="4" fillId="0" borderId="11" xfId="0" applyNumberFormat="1" applyFont="1" applyFill="1" applyBorder="1" applyAlignment="1" applyProtection="1">
      <alignment vertical="top" wrapText="1" readingOrder="1"/>
      <protection locked="0"/>
    </xf>
    <xf numFmtId="0" fontId="6" fillId="0" borderId="4" xfId="0" applyNumberFormat="1" applyFont="1" applyFill="1" applyBorder="1" applyAlignment="1" applyProtection="1">
      <alignment horizontal="center" vertical="top" wrapText="1"/>
    </xf>
    <xf numFmtId="0" fontId="6" fillId="0" borderId="12" xfId="0" applyNumberFormat="1" applyFont="1" applyFill="1" applyBorder="1" applyAlignment="1" applyProtection="1">
      <alignment horizontal="center" vertical="top" wrapText="1"/>
    </xf>
    <xf numFmtId="0" fontId="11" fillId="0" borderId="1" xfId="0" applyFont="1" applyFill="1" applyBorder="1" applyAlignment="1">
      <alignment horizontal="center" vertical="top"/>
    </xf>
    <xf numFmtId="0" fontId="6" fillId="0" borderId="5" xfId="0" applyNumberFormat="1" applyFont="1" applyFill="1" applyBorder="1" applyAlignment="1" applyProtection="1">
      <alignment horizontal="center" vertical="top" wrapText="1" shrinkToFit="1"/>
      <protection locked="0"/>
    </xf>
    <xf numFmtId="0" fontId="3" fillId="0" borderId="3" xfId="0" applyNumberFormat="1" applyFont="1" applyFill="1" applyBorder="1" applyAlignment="1" applyProtection="1">
      <alignment horizontal="center" vertical="center" wrapText="1" shrinkToFit="1"/>
      <protection locked="0"/>
    </xf>
    <xf numFmtId="0" fontId="6" fillId="0" borderId="2" xfId="0" applyNumberFormat="1" applyFont="1" applyFill="1" applyBorder="1" applyAlignment="1" applyProtection="1">
      <alignment horizontal="center" vertical="top" wrapText="1" shrinkToFit="1" readingOrder="1"/>
      <protection locked="0"/>
    </xf>
    <xf numFmtId="0" fontId="3" fillId="0" borderId="2" xfId="0" applyNumberFormat="1" applyFont="1" applyFill="1" applyBorder="1" applyAlignment="1" applyProtection="1">
      <alignment horizontal="center" vertical="top" wrapText="1" shrinkToFit="1" readingOrder="1"/>
      <protection locked="0"/>
    </xf>
    <xf numFmtId="14" fontId="3" fillId="0" borderId="2" xfId="0" applyNumberFormat="1" applyFont="1" applyFill="1" applyBorder="1" applyAlignment="1" applyProtection="1">
      <alignment horizontal="center" vertical="top" wrapText="1" shrinkToFit="1" readingOrder="1"/>
      <protection locked="0"/>
    </xf>
    <xf numFmtId="0" fontId="7" fillId="0" borderId="6" xfId="0" applyNumberFormat="1" applyFont="1" applyFill="1" applyBorder="1" applyAlignment="1" applyProtection="1">
      <alignment horizontal="center" vertical="center" wrapText="1" shrinkToFit="1"/>
      <protection locked="0"/>
    </xf>
    <xf numFmtId="14" fontId="7" fillId="0" borderId="6" xfId="0" applyNumberFormat="1" applyFont="1" applyFill="1" applyBorder="1" applyAlignment="1" applyProtection="1">
      <alignment horizontal="center" vertical="center" wrapText="1" shrinkToFit="1"/>
      <protection locked="0"/>
    </xf>
    <xf numFmtId="0" fontId="2" fillId="0" borderId="0" xfId="0" applyFont="1" applyFill="1"/>
    <xf numFmtId="0" fontId="10" fillId="0" borderId="1" xfId="0" applyNumberFormat="1" applyFont="1" applyFill="1" applyBorder="1" applyAlignment="1" applyProtection="1">
      <alignment horizontal="center" vertical="center" wrapText="1"/>
    </xf>
    <xf numFmtId="0" fontId="4" fillId="0" borderId="10" xfId="1" applyNumberFormat="1" applyFont="1" applyFill="1" applyBorder="1" applyAlignment="1">
      <alignment horizontal="center" vertical="center" wrapText="1"/>
    </xf>
    <xf numFmtId="0" fontId="6" fillId="0" borderId="11" xfId="0" applyNumberFormat="1" applyFont="1" applyFill="1" applyBorder="1" applyAlignment="1" applyProtection="1">
      <alignment horizontal="center" vertical="top" wrapText="1" shrinkToFit="1" readingOrder="1"/>
      <protection locked="0"/>
    </xf>
    <xf numFmtId="4" fontId="12" fillId="0" borderId="5" xfId="0" applyNumberFormat="1" applyFont="1" applyFill="1" applyBorder="1"/>
    <xf numFmtId="0" fontId="0" fillId="0" borderId="0" xfId="0" applyFill="1"/>
    <xf numFmtId="0" fontId="7" fillId="0" borderId="11" xfId="0" applyFont="1" applyFill="1" applyBorder="1" applyAlignment="1" applyProtection="1">
      <alignment vertical="top" wrapText="1" readingOrder="1"/>
      <protection locked="0"/>
    </xf>
    <xf numFmtId="164" fontId="7" fillId="0" borderId="11" xfId="0" applyNumberFormat="1" applyFont="1" applyFill="1" applyBorder="1" applyAlignment="1" applyProtection="1">
      <alignment vertical="top" wrapText="1" readingOrder="1"/>
      <protection locked="0"/>
    </xf>
    <xf numFmtId="0" fontId="7" fillId="0" borderId="3" xfId="0" applyFont="1" applyFill="1" applyBorder="1" applyAlignment="1" applyProtection="1">
      <alignment vertical="top" wrapText="1" readingOrder="1"/>
      <protection locked="0"/>
    </xf>
    <xf numFmtId="0" fontId="7" fillId="0" borderId="3" xfId="0" applyFont="1" applyFill="1" applyBorder="1" applyAlignment="1" applyProtection="1">
      <alignment horizontal="center" vertical="top" wrapText="1" readingOrder="1"/>
      <protection locked="0"/>
    </xf>
    <xf numFmtId="0" fontId="8" fillId="0" borderId="3" xfId="0" applyFont="1" applyFill="1" applyBorder="1" applyAlignment="1" applyProtection="1">
      <alignment vertical="top" wrapText="1" readingOrder="1"/>
      <protection locked="0"/>
    </xf>
    <xf numFmtId="0" fontId="8" fillId="0" borderId="3" xfId="0" applyFont="1" applyFill="1" applyBorder="1" applyAlignment="1" applyProtection="1">
      <alignment horizontal="center" vertical="top" wrapText="1" readingOrder="1"/>
      <protection locked="0"/>
    </xf>
    <xf numFmtId="164" fontId="8" fillId="0" borderId="3" xfId="0" applyNumberFormat="1" applyFont="1" applyFill="1" applyBorder="1" applyAlignment="1" applyProtection="1">
      <alignment vertical="top" wrapText="1" readingOrder="1"/>
      <protection locked="0"/>
    </xf>
    <xf numFmtId="0" fontId="8" fillId="0" borderId="11" xfId="0" applyFont="1" applyFill="1" applyBorder="1" applyAlignment="1" applyProtection="1">
      <alignment horizontal="center" vertical="top" wrapText="1" readingOrder="1"/>
      <protection locked="0"/>
    </xf>
    <xf numFmtId="0" fontId="4" fillId="0" borderId="2" xfId="0" applyFont="1" applyFill="1" applyBorder="1" applyAlignment="1" applyProtection="1">
      <alignment vertical="top" wrapText="1" readingOrder="1"/>
      <protection locked="0"/>
    </xf>
    <xf numFmtId="0" fontId="4" fillId="0" borderId="14" xfId="0" applyFont="1" applyFill="1" applyBorder="1" applyAlignment="1" applyProtection="1">
      <alignment horizontal="center" vertical="top" wrapText="1" readingOrder="1"/>
      <protection locked="0"/>
    </xf>
    <xf numFmtId="164" fontId="4" fillId="0" borderId="1" xfId="0" applyNumberFormat="1" applyFont="1" applyFill="1" applyBorder="1" applyAlignment="1" applyProtection="1">
      <alignment vertical="top" wrapText="1" readingOrder="1"/>
      <protection locked="0"/>
    </xf>
    <xf numFmtId="0" fontId="4" fillId="0" borderId="7" xfId="0" applyFont="1" applyFill="1" applyBorder="1" applyAlignment="1" applyProtection="1">
      <alignment vertical="top" wrapText="1" readingOrder="1"/>
      <protection locked="0"/>
    </xf>
    <xf numFmtId="0" fontId="4" fillId="0" borderId="15" xfId="0" applyFont="1" applyFill="1" applyBorder="1" applyAlignment="1" applyProtection="1">
      <alignment horizontal="center" vertical="top" wrapText="1" readingOrder="1"/>
      <protection locked="0"/>
    </xf>
    <xf numFmtId="0" fontId="7" fillId="0" borderId="16" xfId="0" applyFont="1" applyFill="1" applyBorder="1" applyAlignment="1" applyProtection="1">
      <alignment vertical="top" wrapText="1" readingOrder="1"/>
      <protection locked="0"/>
    </xf>
    <xf numFmtId="0" fontId="7" fillId="0" borderId="5" xfId="0" applyFont="1" applyFill="1" applyBorder="1" applyAlignment="1" applyProtection="1">
      <alignment horizontal="center" vertical="center" wrapText="1"/>
      <protection locked="0"/>
    </xf>
    <xf numFmtId="0" fontId="4" fillId="0" borderId="11" xfId="0" applyFont="1" applyFill="1" applyBorder="1" applyAlignment="1" applyProtection="1">
      <alignment vertical="top" wrapText="1" readingOrder="1"/>
      <protection locked="0"/>
    </xf>
    <xf numFmtId="164" fontId="4" fillId="0" borderId="2" xfId="0" applyNumberFormat="1" applyFont="1" applyFill="1" applyBorder="1" applyAlignment="1" applyProtection="1">
      <alignment vertical="top" wrapText="1" readingOrder="1"/>
      <protection locked="0"/>
    </xf>
    <xf numFmtId="0" fontId="4" fillId="0" borderId="1" xfId="0" applyFont="1" applyFill="1" applyBorder="1" applyAlignment="1" applyProtection="1">
      <alignment vertical="top" wrapText="1" readingOrder="1"/>
      <protection locked="0"/>
    </xf>
    <xf numFmtId="0" fontId="7" fillId="0" borderId="2" xfId="0" applyFont="1" applyFill="1" applyBorder="1" applyAlignment="1" applyProtection="1">
      <alignment vertical="top" wrapText="1" readingOrder="1"/>
      <protection locked="0"/>
    </xf>
    <xf numFmtId="164" fontId="7" fillId="0" borderId="2" xfId="0" applyNumberFormat="1" applyFont="1" applyFill="1" applyBorder="1" applyAlignment="1" applyProtection="1">
      <alignment vertical="top" wrapText="1" readingOrder="1"/>
      <protection locked="0"/>
    </xf>
    <xf numFmtId="0" fontId="4" fillId="0" borderId="17" xfId="0" applyFont="1" applyFill="1" applyBorder="1" applyAlignment="1" applyProtection="1">
      <alignment horizontal="center" vertical="top" wrapText="1" readingOrder="1"/>
      <protection locked="0"/>
    </xf>
    <xf numFmtId="164" fontId="4" fillId="0" borderId="7" xfId="0" applyNumberFormat="1" applyFont="1" applyFill="1" applyBorder="1" applyAlignment="1" applyProtection="1">
      <alignment vertical="top" wrapText="1" readingOrder="1"/>
      <protection locked="0"/>
    </xf>
    <xf numFmtId="0" fontId="7" fillId="0" borderId="4" xfId="0" applyFont="1" applyFill="1" applyBorder="1" applyAlignment="1" applyProtection="1">
      <alignment horizontal="center" vertical="top" wrapText="1" readingOrder="1"/>
      <protection locked="0"/>
    </xf>
    <xf numFmtId="0" fontId="7" fillId="0" borderId="17" xfId="0" applyFont="1" applyFill="1" applyBorder="1" applyAlignment="1" applyProtection="1">
      <alignment horizontal="center" vertical="top" wrapText="1" readingOrder="1"/>
      <protection locked="0"/>
    </xf>
    <xf numFmtId="14" fontId="4" fillId="0" borderId="2" xfId="0" applyNumberFormat="1" applyFont="1" applyFill="1" applyBorder="1" applyAlignment="1" applyProtection="1">
      <alignment vertical="top" wrapText="1" readingOrder="1"/>
      <protection locked="0"/>
    </xf>
    <xf numFmtId="164" fontId="8" fillId="0" borderId="11" xfId="0" applyNumberFormat="1" applyFont="1" applyFill="1" applyBorder="1" applyAlignment="1" applyProtection="1">
      <alignment vertical="top" wrapText="1" readingOrder="1"/>
      <protection locked="0"/>
    </xf>
    <xf numFmtId="164" fontId="4" fillId="0" borderId="14" xfId="0" applyNumberFormat="1" applyFont="1" applyFill="1" applyBorder="1" applyAlignment="1" applyProtection="1">
      <alignment vertical="top" wrapText="1" readingOrder="1"/>
      <protection locked="0"/>
    </xf>
    <xf numFmtId="164" fontId="4" fillId="0" borderId="18" xfId="0" applyNumberFormat="1" applyFont="1" applyFill="1" applyBorder="1" applyAlignment="1" applyProtection="1">
      <alignment vertical="top" wrapText="1" readingOrder="1"/>
      <protection locked="0"/>
    </xf>
    <xf numFmtId="0" fontId="7" fillId="0" borderId="14" xfId="0" applyFont="1" applyFill="1" applyBorder="1" applyAlignment="1" applyProtection="1">
      <alignment horizontal="center" vertical="top" wrapText="1" readingOrder="1"/>
      <protection locked="0"/>
    </xf>
    <xf numFmtId="0" fontId="7" fillId="0" borderId="18" xfId="0" applyFont="1" applyFill="1" applyBorder="1" applyAlignment="1" applyProtection="1">
      <alignment horizontal="center" vertical="top" wrapText="1" readingOrder="1"/>
      <protection locked="0"/>
    </xf>
    <xf numFmtId="164" fontId="7" fillId="0" borderId="18" xfId="0" applyNumberFormat="1" applyFont="1" applyFill="1" applyBorder="1" applyAlignment="1" applyProtection="1">
      <alignment vertical="top" wrapText="1" readingOrder="1"/>
      <protection locked="0"/>
    </xf>
    <xf numFmtId="0" fontId="7" fillId="0" borderId="18" xfId="0" applyFont="1" applyFill="1" applyBorder="1" applyAlignment="1" applyProtection="1">
      <alignment vertical="top" wrapText="1" readingOrder="1"/>
      <protection locked="0"/>
    </xf>
    <xf numFmtId="0" fontId="7" fillId="0" borderId="5" xfId="0" applyFont="1" applyFill="1" applyBorder="1" applyAlignment="1" applyProtection="1">
      <alignment vertical="top" wrapText="1" readingOrder="1"/>
      <protection locked="0"/>
    </xf>
    <xf numFmtId="164" fontId="4" fillId="0" borderId="4" xfId="0" applyNumberFormat="1" applyFont="1" applyFill="1" applyBorder="1" applyAlignment="1" applyProtection="1">
      <alignment vertical="top" wrapText="1" readingOrder="1"/>
      <protection locked="0"/>
    </xf>
    <xf numFmtId="49" fontId="4" fillId="0" borderId="8" xfId="0" applyNumberFormat="1" applyFont="1" applyFill="1" applyBorder="1" applyAlignment="1" applyProtection="1">
      <alignment horizontal="center" vertical="top" wrapText="1" readingOrder="1"/>
      <protection locked="0"/>
    </xf>
    <xf numFmtId="49" fontId="4" fillId="0" borderId="7" xfId="0" applyNumberFormat="1" applyFont="1" applyFill="1" applyBorder="1" applyAlignment="1" applyProtection="1">
      <alignment horizontal="center" vertical="top" wrapText="1" readingOrder="1"/>
      <protection locked="0"/>
    </xf>
    <xf numFmtId="49" fontId="4" fillId="0" borderId="14" xfId="0" applyNumberFormat="1" applyFont="1" applyFill="1" applyBorder="1" applyAlignment="1" applyProtection="1">
      <alignment horizontal="center" vertical="top" wrapText="1" readingOrder="1"/>
      <protection locked="0"/>
    </xf>
    <xf numFmtId="49" fontId="4" fillId="0" borderId="4" xfId="0" applyNumberFormat="1" applyFont="1" applyFill="1" applyBorder="1" applyAlignment="1" applyProtection="1">
      <alignment horizontal="center" vertical="top" wrapText="1" readingOrder="1"/>
      <protection locked="0"/>
    </xf>
    <xf numFmtId="49" fontId="4" fillId="0" borderId="17" xfId="0" applyNumberFormat="1" applyFont="1" applyFill="1" applyBorder="1" applyAlignment="1" applyProtection="1">
      <alignment horizontal="center" vertical="top" wrapText="1" readingOrder="1"/>
      <protection locked="0"/>
    </xf>
    <xf numFmtId="49" fontId="4" fillId="0" borderId="15" xfId="0" applyNumberFormat="1" applyFont="1" applyFill="1" applyBorder="1" applyAlignment="1" applyProtection="1">
      <alignment horizontal="center" vertical="top" wrapText="1" readingOrder="1"/>
      <protection locked="0"/>
    </xf>
    <xf numFmtId="164" fontId="7" fillId="0" borderId="1" xfId="0" applyNumberFormat="1" applyFont="1" applyFill="1" applyBorder="1" applyAlignment="1" applyProtection="1">
      <alignment vertical="top" wrapText="1" readingOrder="1"/>
      <protection locked="0"/>
    </xf>
    <xf numFmtId="0" fontId="7" fillId="0" borderId="1" xfId="0" applyFont="1" applyFill="1" applyBorder="1" applyAlignment="1" applyProtection="1">
      <alignment vertical="top" wrapText="1" readingOrder="1"/>
      <protection locked="0"/>
    </xf>
    <xf numFmtId="0" fontId="7" fillId="0" borderId="20" xfId="0" applyFont="1" applyFill="1" applyBorder="1" applyAlignment="1" applyProtection="1">
      <alignment vertical="top" wrapText="1" readingOrder="1"/>
      <protection locked="0"/>
    </xf>
    <xf numFmtId="0" fontId="7" fillId="0" borderId="15" xfId="0" applyFont="1" applyFill="1" applyBorder="1" applyAlignment="1" applyProtection="1">
      <alignment horizontal="center" vertical="top" wrapText="1" readingOrder="1"/>
      <protection locked="0"/>
    </xf>
    <xf numFmtId="0" fontId="4" fillId="0" borderId="2" xfId="0" applyFont="1" applyFill="1" applyBorder="1" applyAlignment="1" applyProtection="1">
      <alignment vertical="top" wrapText="1"/>
      <protection locked="0"/>
    </xf>
    <xf numFmtId="0" fontId="8" fillId="0" borderId="11" xfId="0" applyFont="1" applyFill="1" applyBorder="1" applyAlignment="1" applyProtection="1">
      <alignment vertical="top" wrapText="1" readingOrder="1"/>
      <protection locked="0"/>
    </xf>
    <xf numFmtId="49" fontId="8" fillId="0" borderId="11" xfId="0" applyNumberFormat="1" applyFont="1" applyFill="1" applyBorder="1" applyAlignment="1" applyProtection="1">
      <alignment horizontal="center" vertical="top" wrapText="1" readingOrder="1"/>
      <protection locked="0"/>
    </xf>
    <xf numFmtId="0" fontId="4" fillId="0" borderId="21" xfId="0" applyFont="1" applyFill="1" applyBorder="1" applyAlignment="1" applyProtection="1">
      <alignment horizontal="center" vertical="top" wrapText="1" readingOrder="1"/>
      <protection locked="0"/>
    </xf>
    <xf numFmtId="0" fontId="8" fillId="0" borderId="5" xfId="0" applyFont="1" applyFill="1" applyBorder="1" applyAlignment="1" applyProtection="1">
      <alignment vertical="top" wrapText="1" readingOrder="1"/>
      <protection locked="0"/>
    </xf>
    <xf numFmtId="166" fontId="8" fillId="0" borderId="5" xfId="0" applyNumberFormat="1" applyFont="1" applyFill="1" applyBorder="1" applyAlignment="1" applyProtection="1">
      <alignment vertical="top" wrapText="1" readingOrder="1"/>
      <protection locked="0"/>
    </xf>
    <xf numFmtId="49" fontId="8" fillId="0" borderId="5" xfId="0" applyNumberFormat="1" applyFont="1" applyFill="1" applyBorder="1" applyAlignment="1" applyProtection="1">
      <alignment horizontal="center" vertical="top" wrapText="1" readingOrder="1"/>
      <protection locked="0"/>
    </xf>
    <xf numFmtId="166" fontId="4" fillId="0" borderId="6" xfId="0" applyNumberFormat="1" applyFont="1" applyFill="1" applyBorder="1" applyAlignment="1" applyProtection="1">
      <alignment vertical="top" wrapText="1" readingOrder="1"/>
      <protection locked="0"/>
    </xf>
    <xf numFmtId="166" fontId="4" fillId="0" borderId="1" xfId="0" applyNumberFormat="1" applyFont="1" applyFill="1" applyBorder="1" applyAlignment="1" applyProtection="1">
      <alignment vertical="top" wrapText="1" readingOrder="1"/>
      <protection locked="0"/>
    </xf>
    <xf numFmtId="166" fontId="4" fillId="0" borderId="18" xfId="0" applyNumberFormat="1" applyFont="1" applyFill="1" applyBorder="1" applyAlignment="1" applyProtection="1">
      <alignment vertical="top" wrapText="1" readingOrder="1"/>
      <protection locked="0"/>
    </xf>
    <xf numFmtId="0" fontId="4" fillId="0" borderId="7" xfId="0" applyFont="1" applyFill="1" applyBorder="1" applyAlignment="1" applyProtection="1">
      <alignment vertical="top" wrapText="1"/>
      <protection locked="0"/>
    </xf>
    <xf numFmtId="0" fontId="7" fillId="0" borderId="10" xfId="0" applyFont="1" applyFill="1" applyBorder="1" applyAlignment="1" applyProtection="1">
      <alignment vertical="top" wrapText="1" readingOrder="1"/>
      <protection locked="0"/>
    </xf>
    <xf numFmtId="0" fontId="7" fillId="0" borderId="7" xfId="0" applyFont="1" applyFill="1" applyBorder="1" applyAlignment="1" applyProtection="1">
      <alignment vertical="top" wrapText="1" readingOrder="1"/>
      <protection locked="0"/>
    </xf>
    <xf numFmtId="164" fontId="7" fillId="0" borderId="7" xfId="0" applyNumberFormat="1" applyFont="1" applyFill="1" applyBorder="1" applyAlignment="1" applyProtection="1">
      <alignment vertical="top" wrapText="1" readingOrder="1"/>
      <protection locked="0"/>
    </xf>
    <xf numFmtId="0" fontId="4" fillId="0" borderId="20" xfId="0" applyFont="1" applyFill="1" applyBorder="1" applyAlignment="1" applyProtection="1">
      <alignment vertical="top" wrapText="1" readingOrder="1"/>
      <protection locked="0"/>
    </xf>
    <xf numFmtId="0" fontId="7" fillId="0" borderId="6" xfId="0" applyFont="1" applyFill="1" applyBorder="1" applyAlignment="1" applyProtection="1">
      <alignment vertical="top" wrapText="1" readingOrder="1"/>
      <protection locked="0"/>
    </xf>
    <xf numFmtId="164" fontId="7" fillId="0" borderId="6" xfId="0" applyNumberFormat="1" applyFont="1" applyFill="1" applyBorder="1" applyAlignment="1" applyProtection="1">
      <alignment vertical="top" wrapText="1" readingOrder="1"/>
      <protection locked="0"/>
    </xf>
    <xf numFmtId="164" fontId="7" fillId="0" borderId="5" xfId="0" applyNumberFormat="1" applyFont="1" applyFill="1" applyBorder="1" applyAlignment="1" applyProtection="1">
      <alignment vertical="top" wrapText="1" readingOrder="1"/>
      <protection locked="0"/>
    </xf>
    <xf numFmtId="0" fontId="4" fillId="0" borderId="5" xfId="0" applyFont="1" applyFill="1" applyBorder="1" applyAlignment="1" applyProtection="1">
      <alignment vertical="top" wrapText="1" readingOrder="1"/>
      <protection locked="0"/>
    </xf>
    <xf numFmtId="49" fontId="4" fillId="0" borderId="5" xfId="0" applyNumberFormat="1" applyFont="1" applyFill="1" applyBorder="1" applyAlignment="1" applyProtection="1">
      <alignment horizontal="center" vertical="top" wrapText="1" readingOrder="1"/>
      <protection locked="0"/>
    </xf>
    <xf numFmtId="0" fontId="4" fillId="0" borderId="6" xfId="0" applyFont="1" applyFill="1" applyBorder="1" applyAlignment="1" applyProtection="1">
      <alignment vertical="top" wrapText="1" readingOrder="1"/>
      <protection locked="0"/>
    </xf>
    <xf numFmtId="49" fontId="7" fillId="0" borderId="6" xfId="0" applyNumberFormat="1" applyFont="1" applyFill="1" applyBorder="1" applyAlignment="1" applyProtection="1">
      <alignment horizontal="center" vertical="top" wrapText="1" readingOrder="1"/>
      <protection locked="0"/>
    </xf>
    <xf numFmtId="0" fontId="7" fillId="0" borderId="4" xfId="0" applyFont="1" applyFill="1" applyBorder="1" applyAlignment="1" applyProtection="1">
      <alignment vertical="top" wrapText="1" readingOrder="1"/>
      <protection locked="0"/>
    </xf>
    <xf numFmtId="49" fontId="7" fillId="0" borderId="5" xfId="0" applyNumberFormat="1" applyFont="1" applyFill="1" applyBorder="1" applyAlignment="1" applyProtection="1">
      <alignment horizontal="center" vertical="top" wrapText="1" readingOrder="1"/>
      <protection locked="0"/>
    </xf>
    <xf numFmtId="164" fontId="4" fillId="0" borderId="5" xfId="0" applyNumberFormat="1" applyFont="1" applyFill="1" applyBorder="1" applyAlignment="1" applyProtection="1">
      <alignment vertical="top" wrapText="1" readingOrder="1"/>
      <protection locked="0"/>
    </xf>
    <xf numFmtId="0" fontId="4" fillId="0" borderId="4" xfId="0" applyFont="1" applyFill="1" applyBorder="1" applyAlignment="1" applyProtection="1">
      <alignment vertical="top" wrapText="1" readingOrder="1"/>
      <protection locked="0"/>
    </xf>
    <xf numFmtId="166" fontId="4" fillId="0" borderId="4" xfId="0" applyNumberFormat="1" applyFont="1" applyFill="1" applyBorder="1" applyAlignment="1" applyProtection="1">
      <alignment vertical="top" wrapText="1" readingOrder="1"/>
      <protection locked="0"/>
    </xf>
    <xf numFmtId="0" fontId="4" fillId="0" borderId="3" xfId="0" applyFont="1" applyFill="1" applyBorder="1" applyAlignment="1" applyProtection="1">
      <alignment vertical="top" wrapText="1" readingOrder="1"/>
      <protection locked="0"/>
    </xf>
    <xf numFmtId="0" fontId="8" fillId="0" borderId="7" xfId="0" applyFont="1" applyFill="1" applyBorder="1" applyAlignment="1" applyProtection="1">
      <alignment horizontal="center" vertical="top" wrapText="1" readingOrder="1"/>
      <protection locked="0"/>
    </xf>
    <xf numFmtId="166" fontId="4" fillId="0" borderId="5" xfId="0" applyNumberFormat="1" applyFont="1" applyFill="1" applyBorder="1" applyAlignment="1" applyProtection="1">
      <alignment vertical="top" wrapText="1" readingOrder="1"/>
      <protection locked="0"/>
    </xf>
    <xf numFmtId="165" fontId="4" fillId="0" borderId="3" xfId="0" applyNumberFormat="1" applyFont="1" applyFill="1" applyBorder="1" applyAlignment="1" applyProtection="1">
      <alignment vertical="top" wrapText="1" readingOrder="1"/>
      <protection locked="0"/>
    </xf>
    <xf numFmtId="0" fontId="3" fillId="0" borderId="7" xfId="0" applyNumberFormat="1" applyFont="1" applyFill="1" applyBorder="1" applyAlignment="1" applyProtection="1">
      <alignment horizontal="center" vertical="center" wrapText="1" shrinkToFit="1"/>
      <protection locked="0"/>
    </xf>
    <xf numFmtId="0" fontId="2" fillId="0" borderId="0" xfId="0" applyFont="1" applyFill="1" applyBorder="1"/>
    <xf numFmtId="0" fontId="4" fillId="0" borderId="0" xfId="0" applyFont="1" applyFill="1" applyBorder="1"/>
    <xf numFmtId="0" fontId="7" fillId="0" borderId="0" xfId="0" applyFont="1" applyFill="1" applyBorder="1"/>
    <xf numFmtId="0" fontId="8" fillId="0" borderId="0" xfId="0" applyFont="1" applyFill="1" applyBorder="1"/>
    <xf numFmtId="166" fontId="4" fillId="0" borderId="2" xfId="0" applyNumberFormat="1" applyFont="1" applyFill="1" applyBorder="1" applyAlignment="1" applyProtection="1">
      <alignment vertical="top" wrapText="1" readingOrder="1"/>
      <protection locked="0"/>
    </xf>
    <xf numFmtId="0" fontId="8" fillId="0" borderId="22" xfId="0" applyNumberFormat="1" applyFont="1" applyFill="1" applyBorder="1" applyAlignment="1" applyProtection="1">
      <alignment horizontal="center" vertical="center" wrapText="1" shrinkToFit="1"/>
      <protection locked="0"/>
    </xf>
    <xf numFmtId="0" fontId="8" fillId="0" borderId="5" xfId="0" applyFont="1" applyFill="1" applyBorder="1" applyAlignment="1" applyProtection="1">
      <alignment horizontal="center" vertical="top" wrapText="1" readingOrder="1"/>
      <protection locked="0"/>
    </xf>
    <xf numFmtId="0" fontId="8" fillId="0" borderId="11" xfId="1" applyNumberFormat="1" applyFont="1" applyFill="1" applyBorder="1" applyAlignment="1">
      <alignment horizontal="center" vertical="center" wrapText="1"/>
    </xf>
    <xf numFmtId="0" fontId="8" fillId="0" borderId="11" xfId="0" applyNumberFormat="1" applyFont="1" applyFill="1" applyBorder="1" applyAlignment="1" applyProtection="1">
      <alignment horizontal="center" vertical="center" wrapText="1" shrinkToFit="1"/>
      <protection locked="0"/>
    </xf>
    <xf numFmtId="0" fontId="8" fillId="0" borderId="20" xfId="0" applyNumberFormat="1" applyFont="1" applyFill="1" applyBorder="1" applyAlignment="1" applyProtection="1">
      <alignment horizontal="center" vertical="center" wrapText="1" shrinkToFit="1"/>
      <protection locked="0"/>
    </xf>
    <xf numFmtId="0" fontId="8" fillId="0" borderId="6" xfId="0" applyFont="1" applyFill="1" applyBorder="1" applyAlignment="1" applyProtection="1">
      <alignment horizontal="center" vertical="top" wrapText="1" readingOrder="1"/>
      <protection locked="0"/>
    </xf>
    <xf numFmtId="0" fontId="8" fillId="0" borderId="5" xfId="1" applyNumberFormat="1" applyFont="1" applyFill="1" applyBorder="1" applyAlignment="1">
      <alignment horizontal="center" vertical="center" wrapText="1"/>
    </xf>
    <xf numFmtId="166" fontId="4" fillId="0" borderId="14" xfId="0" applyNumberFormat="1" applyFont="1" applyFill="1" applyBorder="1" applyAlignment="1" applyProtection="1">
      <alignment vertical="top" wrapText="1" readingOrder="1"/>
      <protection locked="0"/>
    </xf>
    <xf numFmtId="49" fontId="12" fillId="0" borderId="5" xfId="0" applyNumberFormat="1" applyFont="1" applyFill="1" applyBorder="1" applyAlignment="1">
      <alignment horizontal="left" vertical="center"/>
    </xf>
    <xf numFmtId="49" fontId="0" fillId="0" borderId="0" xfId="0" applyNumberFormat="1" applyFill="1" applyAlignment="1">
      <alignment horizontal="center" vertical="center"/>
    </xf>
    <xf numFmtId="49" fontId="12" fillId="0" borderId="5" xfId="0" applyNumberFormat="1" applyFont="1" applyFill="1" applyBorder="1" applyAlignment="1">
      <alignment horizontal="left"/>
    </xf>
    <xf numFmtId="0" fontId="1" fillId="0" borderId="0" xfId="0" applyFont="1" applyFill="1"/>
    <xf numFmtId="49" fontId="0" fillId="0" borderId="0" xfId="0" applyNumberFormat="1" applyFill="1" applyAlignment="1">
      <alignment horizontal="left"/>
    </xf>
    <xf numFmtId="49" fontId="0" fillId="0" borderId="0" xfId="0" applyNumberFormat="1" applyFill="1"/>
    <xf numFmtId="166" fontId="14" fillId="0" borderId="0" xfId="0" applyNumberFormat="1" applyFont="1" applyFill="1"/>
    <xf numFmtId="4" fontId="14" fillId="0" borderId="0" xfId="0" applyNumberFormat="1" applyFont="1" applyFill="1"/>
    <xf numFmtId="4" fontId="13" fillId="0" borderId="0" xfId="0" applyNumberFormat="1" applyFont="1" applyFill="1"/>
    <xf numFmtId="14" fontId="3" fillId="0" borderId="7" xfId="0" applyNumberFormat="1" applyFont="1" applyFill="1" applyBorder="1" applyAlignment="1" applyProtection="1">
      <alignment horizontal="center" vertical="center" wrapText="1" shrinkToFit="1"/>
      <protection locked="0"/>
    </xf>
    <xf numFmtId="0" fontId="4" fillId="0" borderId="11" xfId="0" applyNumberFormat="1" applyFont="1" applyFill="1" applyBorder="1" applyAlignment="1" applyProtection="1">
      <alignment horizontal="center" vertical="top" wrapText="1" shrinkToFit="1"/>
      <protection locked="0"/>
    </xf>
    <xf numFmtId="164" fontId="7" fillId="0" borderId="23" xfId="0" applyNumberFormat="1" applyFont="1" applyFill="1" applyBorder="1" applyAlignment="1" applyProtection="1">
      <alignment vertical="top" wrapText="1" readingOrder="1"/>
      <protection locked="0"/>
    </xf>
    <xf numFmtId="49" fontId="4" fillId="0" borderId="24" xfId="0" applyNumberFormat="1" applyFont="1" applyFill="1" applyBorder="1" applyAlignment="1" applyProtection="1">
      <alignment horizontal="center" vertical="top" wrapText="1" readingOrder="1"/>
      <protection locked="0"/>
    </xf>
    <xf numFmtId="166" fontId="4" fillId="0" borderId="10" xfId="0" applyNumberFormat="1" applyFont="1" applyFill="1" applyBorder="1" applyAlignment="1" applyProtection="1">
      <alignment vertical="top" wrapText="1" readingOrder="1"/>
      <protection locked="0"/>
    </xf>
    <xf numFmtId="0" fontId="4" fillId="0" borderId="22" xfId="0" applyFont="1" applyFill="1" applyBorder="1" applyAlignment="1" applyProtection="1">
      <alignment horizontal="center" vertical="top" wrapText="1" readingOrder="1"/>
      <protection locked="0"/>
    </xf>
    <xf numFmtId="49" fontId="4" fillId="0" borderId="25" xfId="0" applyNumberFormat="1" applyFont="1" applyFill="1" applyBorder="1" applyAlignment="1" applyProtection="1">
      <alignment horizontal="center" vertical="top" wrapText="1" readingOrder="1"/>
      <protection locked="0"/>
    </xf>
    <xf numFmtId="0" fontId="7" fillId="0" borderId="22" xfId="0" applyFont="1" applyFill="1" applyBorder="1" applyAlignment="1" applyProtection="1">
      <alignment horizontal="center" vertical="top" wrapText="1" readingOrder="1"/>
      <protection locked="0"/>
    </xf>
    <xf numFmtId="0" fontId="4" fillId="0" borderId="26" xfId="0" applyFont="1" applyFill="1" applyBorder="1" applyAlignment="1" applyProtection="1">
      <alignment horizontal="center" vertical="top" wrapText="1" readingOrder="1"/>
      <protection locked="0"/>
    </xf>
    <xf numFmtId="0" fontId="4" fillId="0" borderId="9" xfId="0" applyFont="1" applyFill="1" applyBorder="1" applyAlignment="1" applyProtection="1">
      <alignment horizontal="center" vertical="top" wrapText="1" readingOrder="1"/>
      <protection locked="0"/>
    </xf>
    <xf numFmtId="0" fontId="7" fillId="0" borderId="27" xfId="0" applyFont="1" applyFill="1" applyBorder="1" applyAlignment="1" applyProtection="1">
      <alignment horizontal="center" vertical="top" wrapText="1" readingOrder="1"/>
      <protection locked="0"/>
    </xf>
    <xf numFmtId="0" fontId="4" fillId="0" borderId="28" xfId="0" applyFont="1" applyFill="1" applyBorder="1" applyAlignment="1" applyProtection="1">
      <alignment horizontal="center" vertical="top" wrapText="1" readingOrder="1"/>
      <protection locked="0"/>
    </xf>
    <xf numFmtId="49" fontId="8" fillId="0" borderId="27" xfId="0" applyNumberFormat="1" applyFont="1" applyFill="1" applyBorder="1" applyAlignment="1" applyProtection="1">
      <alignment horizontal="center" vertical="top" wrapText="1" readingOrder="1"/>
      <protection locked="0"/>
    </xf>
    <xf numFmtId="0" fontId="8" fillId="0" borderId="29" xfId="0" applyFont="1" applyFill="1" applyBorder="1" applyAlignment="1" applyProtection="1">
      <alignment horizontal="center" vertical="top" wrapText="1" readingOrder="1"/>
      <protection locked="0"/>
    </xf>
    <xf numFmtId="49" fontId="4" fillId="0" borderId="16" xfId="0" applyNumberFormat="1" applyFont="1" applyFill="1" applyBorder="1" applyAlignment="1" applyProtection="1">
      <alignment horizontal="center" vertical="top" wrapText="1" readingOrder="1"/>
      <protection locked="0"/>
    </xf>
    <xf numFmtId="49" fontId="4" fillId="0" borderId="28" xfId="0" applyNumberFormat="1" applyFont="1" applyFill="1" applyBorder="1" applyAlignment="1" applyProtection="1">
      <alignment horizontal="center" vertical="top" wrapText="1" readingOrder="1"/>
      <protection locked="0"/>
    </xf>
    <xf numFmtId="0" fontId="7" fillId="0" borderId="9" xfId="0" applyFont="1" applyFill="1" applyBorder="1" applyAlignment="1" applyProtection="1">
      <alignment horizontal="center" vertical="top" wrapText="1" readingOrder="1"/>
      <protection locked="0"/>
    </xf>
    <xf numFmtId="0" fontId="7" fillId="0" borderId="30" xfId="0" applyFont="1" applyFill="1" applyBorder="1" applyAlignment="1" applyProtection="1">
      <alignment horizontal="center" vertical="top" wrapText="1" readingOrder="1"/>
      <protection locked="0"/>
    </xf>
    <xf numFmtId="49" fontId="8" fillId="0" borderId="20" xfId="0" applyNumberFormat="1" applyFont="1" applyFill="1" applyBorder="1" applyAlignment="1" applyProtection="1">
      <alignment horizontal="center" vertical="top" wrapText="1" readingOrder="1"/>
      <protection locked="0"/>
    </xf>
    <xf numFmtId="49" fontId="4" fillId="0" borderId="9" xfId="0" applyNumberFormat="1" applyFont="1" applyFill="1" applyBorder="1" applyAlignment="1" applyProtection="1">
      <alignment horizontal="center" vertical="top" wrapText="1" readingOrder="1"/>
      <protection locked="0"/>
    </xf>
    <xf numFmtId="49" fontId="4" fillId="0" borderId="26" xfId="0" applyNumberFormat="1" applyFont="1" applyFill="1" applyBorder="1" applyAlignment="1" applyProtection="1">
      <alignment horizontal="center" vertical="top" wrapText="1" readingOrder="1"/>
      <protection locked="0"/>
    </xf>
    <xf numFmtId="49" fontId="4" fillId="0" borderId="20" xfId="0" applyNumberFormat="1" applyFont="1" applyFill="1" applyBorder="1" applyAlignment="1" applyProtection="1">
      <alignment horizontal="center" vertical="top" wrapText="1" readingOrder="1"/>
      <protection locked="0"/>
    </xf>
    <xf numFmtId="49" fontId="4" fillId="0" borderId="31" xfId="0" applyNumberFormat="1" applyFont="1" applyFill="1" applyBorder="1" applyAlignment="1" applyProtection="1">
      <alignment horizontal="center" vertical="top" wrapText="1" readingOrder="1"/>
      <protection locked="0"/>
    </xf>
    <xf numFmtId="49" fontId="4" fillId="0" borderId="27" xfId="0" applyNumberFormat="1" applyFont="1" applyFill="1" applyBorder="1" applyAlignment="1" applyProtection="1">
      <alignment horizontal="center" vertical="top" wrapText="1" readingOrder="1"/>
      <protection locked="0"/>
    </xf>
    <xf numFmtId="49" fontId="7" fillId="0" borderId="28" xfId="0" applyNumberFormat="1" applyFont="1" applyFill="1" applyBorder="1" applyAlignment="1" applyProtection="1">
      <alignment horizontal="center" vertical="top" wrapText="1" readingOrder="1"/>
      <protection locked="0"/>
    </xf>
    <xf numFmtId="0" fontId="7" fillId="0" borderId="26" xfId="0" applyFont="1" applyFill="1" applyBorder="1" applyAlignment="1" applyProtection="1">
      <alignment horizontal="center" vertical="top" wrapText="1" readingOrder="1"/>
      <protection locked="0"/>
    </xf>
    <xf numFmtId="49" fontId="7" fillId="0" borderId="20" xfId="0" applyNumberFormat="1" applyFont="1" applyFill="1" applyBorder="1" applyAlignment="1" applyProtection="1">
      <alignment horizontal="center" vertical="top" wrapText="1" readingOrder="1"/>
      <protection locked="0"/>
    </xf>
    <xf numFmtId="0" fontId="7" fillId="0" borderId="28" xfId="0" applyFont="1" applyFill="1" applyBorder="1" applyAlignment="1" applyProtection="1">
      <alignment horizontal="center" vertical="top" wrapText="1" readingOrder="1"/>
      <protection locked="0"/>
    </xf>
    <xf numFmtId="165" fontId="7" fillId="0" borderId="14" xfId="0" applyNumberFormat="1" applyFont="1" applyFill="1" applyBorder="1" applyAlignment="1" applyProtection="1">
      <alignment vertical="top" wrapText="1" readingOrder="1"/>
      <protection locked="0"/>
    </xf>
    <xf numFmtId="164" fontId="7" fillId="0" borderId="14" xfId="0" applyNumberFormat="1" applyFont="1" applyFill="1" applyBorder="1" applyAlignment="1" applyProtection="1">
      <alignment vertical="top" wrapText="1" readingOrder="1"/>
      <protection locked="0"/>
    </xf>
    <xf numFmtId="0" fontId="7" fillId="0" borderId="32" xfId="0" applyFont="1" applyFill="1" applyBorder="1" applyAlignment="1" applyProtection="1">
      <alignment vertical="top" wrapText="1" readingOrder="1"/>
      <protection locked="0"/>
    </xf>
    <xf numFmtId="166" fontId="8" fillId="0" borderId="14" xfId="0" applyNumberFormat="1" applyFont="1" applyFill="1" applyBorder="1" applyAlignment="1" applyProtection="1">
      <alignment vertical="top" wrapText="1" readingOrder="1"/>
      <protection locked="0"/>
    </xf>
    <xf numFmtId="165" fontId="4" fillId="0" borderId="14" xfId="0" applyNumberFormat="1" applyFont="1" applyFill="1" applyBorder="1" applyAlignment="1" applyProtection="1">
      <alignment vertical="top" wrapText="1" readingOrder="1"/>
      <protection locked="0"/>
    </xf>
    <xf numFmtId="165" fontId="4" fillId="0" borderId="1" xfId="0" applyNumberFormat="1" applyFont="1" applyFill="1" applyBorder="1" applyAlignment="1" applyProtection="1">
      <alignment vertical="top" wrapText="1" readingOrder="1"/>
      <protection locked="0"/>
    </xf>
    <xf numFmtId="164" fontId="7" fillId="0" borderId="12" xfId="0" applyNumberFormat="1" applyFont="1" applyFill="1" applyBorder="1" applyAlignment="1" applyProtection="1">
      <alignment vertical="top" wrapText="1" readingOrder="1"/>
      <protection locked="0"/>
    </xf>
    <xf numFmtId="164" fontId="4" fillId="0" borderId="12" xfId="0" applyNumberFormat="1" applyFont="1" applyFill="1" applyBorder="1" applyAlignment="1" applyProtection="1">
      <alignment vertical="top" wrapText="1" readingOrder="1"/>
      <protection locked="0"/>
    </xf>
    <xf numFmtId="164" fontId="4" fillId="0" borderId="10" xfId="0" applyNumberFormat="1" applyFont="1" applyFill="1" applyBorder="1" applyAlignment="1" applyProtection="1">
      <alignment vertical="top" wrapText="1" readingOrder="1"/>
      <protection locked="0"/>
    </xf>
    <xf numFmtId="164" fontId="7" fillId="0" borderId="10" xfId="0" applyNumberFormat="1" applyFont="1" applyFill="1" applyBorder="1" applyAlignment="1" applyProtection="1">
      <alignment vertical="top" wrapText="1" readingOrder="1"/>
      <protection locked="0"/>
    </xf>
    <xf numFmtId="164" fontId="4" fillId="0" borderId="34" xfId="0" applyNumberFormat="1" applyFont="1" applyFill="1" applyBorder="1" applyAlignment="1" applyProtection="1">
      <alignment vertical="top" wrapText="1" readingOrder="1"/>
      <protection locked="0"/>
    </xf>
    <xf numFmtId="0" fontId="4" fillId="0" borderId="12" xfId="0" applyFont="1" applyFill="1" applyBorder="1" applyAlignment="1" applyProtection="1">
      <alignment vertical="top" wrapText="1" readingOrder="1"/>
      <protection locked="0"/>
    </xf>
    <xf numFmtId="164" fontId="7" fillId="0" borderId="34" xfId="0" applyNumberFormat="1" applyFont="1" applyFill="1" applyBorder="1" applyAlignment="1" applyProtection="1">
      <alignment vertical="top" wrapText="1" readingOrder="1"/>
      <protection locked="0"/>
    </xf>
    <xf numFmtId="49" fontId="7" fillId="0" borderId="3" xfId="0" applyNumberFormat="1" applyFont="1" applyFill="1" applyBorder="1" applyAlignment="1" applyProtection="1">
      <alignment horizontal="center" vertical="top" wrapText="1" readingOrder="1"/>
      <protection locked="0"/>
    </xf>
    <xf numFmtId="49" fontId="8" fillId="0" borderId="3" xfId="0" applyNumberFormat="1" applyFont="1" applyFill="1" applyBorder="1" applyAlignment="1" applyProtection="1">
      <alignment horizontal="center" vertical="top" wrapText="1" readingOrder="1"/>
      <protection locked="0"/>
    </xf>
    <xf numFmtId="0" fontId="4" fillId="0" borderId="5" xfId="1" applyNumberFormat="1" applyFont="1" applyFill="1" applyBorder="1" applyAlignment="1">
      <alignment horizontal="center" vertical="center" wrapText="1"/>
    </xf>
    <xf numFmtId="0" fontId="7" fillId="0" borderId="12" xfId="0" applyFont="1" applyFill="1" applyBorder="1" applyAlignment="1" applyProtection="1">
      <alignment vertical="top" wrapText="1" readingOrder="1"/>
      <protection locked="0"/>
    </xf>
    <xf numFmtId="0" fontId="6" fillId="0" borderId="18" xfId="0" applyNumberFormat="1" applyFont="1" applyFill="1" applyBorder="1" applyAlignment="1" applyProtection="1">
      <alignment horizontal="center" vertical="top" wrapText="1" shrinkToFit="1"/>
      <protection locked="0"/>
    </xf>
    <xf numFmtId="0" fontId="3" fillId="0" borderId="2" xfId="0" applyNumberFormat="1" applyFont="1" applyFill="1" applyBorder="1" applyAlignment="1" applyProtection="1">
      <alignment vertical="top" wrapText="1" shrinkToFit="1"/>
      <protection locked="0"/>
    </xf>
    <xf numFmtId="0" fontId="4" fillId="0" borderId="14" xfId="0" applyNumberFormat="1" applyFont="1" applyFill="1" applyBorder="1" applyAlignment="1" applyProtection="1">
      <alignment horizontal="center" vertical="top" wrapText="1" shrinkToFit="1"/>
      <protection locked="0"/>
    </xf>
    <xf numFmtId="14" fontId="4" fillId="0" borderId="21" xfId="0" applyNumberFormat="1" applyFont="1" applyFill="1" applyBorder="1" applyAlignment="1" applyProtection="1">
      <alignment horizontal="center" vertical="top" wrapText="1" shrinkToFit="1"/>
      <protection locked="0"/>
    </xf>
    <xf numFmtId="14" fontId="3" fillId="0" borderId="5" xfId="0" applyNumberFormat="1" applyFont="1" applyFill="1" applyBorder="1" applyAlignment="1" applyProtection="1">
      <alignment horizontal="center" vertical="top" wrapText="1" shrinkToFit="1"/>
      <protection locked="0"/>
    </xf>
    <xf numFmtId="14" fontId="3" fillId="0" borderId="35" xfId="0" applyNumberFormat="1" applyFont="1" applyFill="1" applyBorder="1" applyAlignment="1" applyProtection="1">
      <alignment horizontal="center" vertical="top" wrapText="1" shrinkToFit="1"/>
      <protection locked="0"/>
    </xf>
    <xf numFmtId="0" fontId="6" fillId="0" borderId="6" xfId="0" applyNumberFormat="1" applyFont="1" applyFill="1" applyBorder="1" applyAlignment="1" applyProtection="1">
      <alignment horizontal="center" vertical="top" wrapText="1"/>
    </xf>
    <xf numFmtId="14" fontId="4" fillId="0" borderId="11" xfId="0" applyNumberFormat="1" applyFont="1" applyFill="1" applyBorder="1" applyAlignment="1" applyProtection="1">
      <alignment horizontal="center" vertical="top" wrapText="1" shrinkToFit="1"/>
      <protection locked="0"/>
    </xf>
    <xf numFmtId="0" fontId="4" fillId="0" borderId="1" xfId="1" applyNumberFormat="1" applyFont="1" applyFill="1" applyBorder="1" applyAlignment="1">
      <alignment horizontal="center" vertical="top" wrapText="1"/>
    </xf>
    <xf numFmtId="14" fontId="4" fillId="0" borderId="5" xfId="0" applyNumberFormat="1" applyFont="1" applyFill="1" applyBorder="1" applyAlignment="1" applyProtection="1">
      <alignment vertical="top" wrapText="1" readingOrder="1"/>
      <protection locked="0"/>
    </xf>
    <xf numFmtId="0" fontId="4" fillId="0" borderId="36" xfId="0" applyFont="1" applyFill="1" applyBorder="1" applyAlignment="1" applyProtection="1">
      <alignment horizontal="center" vertical="top" wrapText="1" readingOrder="1"/>
      <protection locked="0"/>
    </xf>
    <xf numFmtId="0" fontId="4" fillId="0" borderId="37" xfId="0" applyFont="1" applyFill="1" applyBorder="1" applyAlignment="1" applyProtection="1">
      <alignment vertical="top" wrapText="1" readingOrder="1"/>
      <protection locked="0"/>
    </xf>
    <xf numFmtId="49" fontId="4" fillId="0" borderId="37" xfId="0" applyNumberFormat="1" applyFont="1" applyFill="1" applyBorder="1" applyAlignment="1" applyProtection="1">
      <alignment horizontal="center" vertical="top" wrapText="1" readingOrder="1"/>
      <protection locked="0"/>
    </xf>
    <xf numFmtId="0" fontId="7" fillId="0" borderId="3" xfId="0" applyFont="1" applyFill="1" applyBorder="1" applyAlignment="1" applyProtection="1">
      <alignment vertical="top" wrapText="1"/>
      <protection locked="0"/>
    </xf>
    <xf numFmtId="0" fontId="10"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shrinkToFit="1"/>
      <protection locked="0"/>
    </xf>
    <xf numFmtId="49" fontId="7" fillId="0" borderId="3" xfId="0" applyNumberFormat="1" applyFont="1" applyFill="1" applyBorder="1" applyAlignment="1" applyProtection="1">
      <alignment horizontal="center" vertical="center" wrapText="1" readingOrder="1"/>
      <protection locked="0"/>
    </xf>
    <xf numFmtId="0" fontId="7" fillId="0" borderId="3" xfId="0" applyFont="1" applyFill="1" applyBorder="1" applyAlignment="1" applyProtection="1">
      <alignment horizontal="center" vertical="center" wrapText="1" readingOrder="1"/>
      <protection locked="0"/>
    </xf>
    <xf numFmtId="4" fontId="7" fillId="0" borderId="3" xfId="0" applyNumberFormat="1" applyFont="1" applyFill="1" applyBorder="1" applyAlignment="1" applyProtection="1">
      <alignment horizontal="right" vertical="center" wrapText="1" readingOrder="1"/>
      <protection locked="0"/>
    </xf>
    <xf numFmtId="0" fontId="4" fillId="0" borderId="37" xfId="0" applyFont="1" applyFill="1" applyBorder="1" applyAlignment="1">
      <alignment horizontal="center" vertical="top"/>
    </xf>
    <xf numFmtId="0" fontId="4" fillId="0" borderId="5" xfId="0" applyFont="1" applyFill="1" applyBorder="1" applyAlignment="1">
      <alignment horizontal="center" vertical="top"/>
    </xf>
    <xf numFmtId="14" fontId="4" fillId="0" borderId="7" xfId="0" applyNumberFormat="1" applyFont="1" applyFill="1" applyBorder="1" applyAlignment="1" applyProtection="1">
      <alignment horizontal="center" vertical="top" wrapText="1" shrinkToFit="1"/>
      <protection locked="0"/>
    </xf>
    <xf numFmtId="0" fontId="20" fillId="0" borderId="9" xfId="0" applyFont="1" applyFill="1" applyBorder="1" applyAlignment="1" applyProtection="1">
      <alignment horizontal="center" vertical="top" wrapText="1" readingOrder="1"/>
      <protection locked="0"/>
    </xf>
    <xf numFmtId="0" fontId="20" fillId="0" borderId="0" xfId="0" applyFont="1" applyFill="1" applyBorder="1"/>
    <xf numFmtId="49" fontId="20" fillId="0" borderId="1" xfId="0" applyNumberFormat="1" applyFont="1" applyFill="1" applyBorder="1" applyAlignment="1" applyProtection="1">
      <alignment horizontal="center" vertical="top" wrapText="1" readingOrder="1"/>
      <protection locked="0"/>
    </xf>
    <xf numFmtId="0" fontId="9" fillId="0" borderId="5" xfId="0" applyNumberFormat="1" applyFont="1" applyFill="1" applyBorder="1" applyAlignment="1" applyProtection="1">
      <alignment vertical="center" wrapText="1" shrinkToFit="1"/>
      <protection locked="0"/>
    </xf>
    <xf numFmtId="0" fontId="20" fillId="0" borderId="1" xfId="0" applyNumberFormat="1" applyFont="1" applyFill="1" applyBorder="1" applyAlignment="1" applyProtection="1">
      <alignment vertical="top" wrapText="1" shrinkToFit="1"/>
      <protection locked="0"/>
    </xf>
    <xf numFmtId="49" fontId="20" fillId="0" borderId="9" xfId="0" applyNumberFormat="1" applyFont="1" applyFill="1" applyBorder="1" applyAlignment="1" applyProtection="1">
      <alignment horizontal="center" vertical="top" wrapText="1" readingOrder="1"/>
      <protection locked="0"/>
    </xf>
    <xf numFmtId="166" fontId="20" fillId="0" borderId="1" xfId="0" applyNumberFormat="1" applyFont="1" applyFill="1" applyBorder="1" applyAlignment="1" applyProtection="1">
      <alignment vertical="top" wrapText="1" readingOrder="1"/>
      <protection locked="0"/>
    </xf>
    <xf numFmtId="49" fontId="20" fillId="0" borderId="16" xfId="0" applyNumberFormat="1" applyFont="1" applyFill="1" applyBorder="1" applyAlignment="1" applyProtection="1">
      <alignment horizontal="center" vertical="top" wrapText="1" readingOrder="1"/>
      <protection locked="0"/>
    </xf>
    <xf numFmtId="49" fontId="20" fillId="0" borderId="4" xfId="0" applyNumberFormat="1" applyFont="1" applyFill="1" applyBorder="1" applyAlignment="1" applyProtection="1">
      <alignment horizontal="center" vertical="top" wrapText="1" readingOrder="1"/>
      <protection locked="0"/>
    </xf>
    <xf numFmtId="0" fontId="20" fillId="0" borderId="1" xfId="0" applyFont="1" applyFill="1" applyBorder="1" applyAlignment="1" applyProtection="1">
      <alignment vertical="top" wrapText="1" readingOrder="1"/>
      <protection locked="0"/>
    </xf>
    <xf numFmtId="166" fontId="20" fillId="0" borderId="4" xfId="0" applyNumberFormat="1" applyFont="1" applyFill="1" applyBorder="1" applyAlignment="1" applyProtection="1">
      <alignment vertical="top" wrapText="1" readingOrder="1"/>
      <protection locked="0"/>
    </xf>
    <xf numFmtId="49" fontId="20" fillId="0" borderId="17" xfId="0" applyNumberFormat="1" applyFont="1" applyFill="1" applyBorder="1" applyAlignment="1" applyProtection="1">
      <alignment horizontal="center" vertical="top" wrapText="1" readingOrder="1"/>
      <protection locked="0"/>
    </xf>
    <xf numFmtId="0" fontId="19" fillId="0" borderId="5" xfId="0" applyNumberFormat="1" applyFont="1" applyFill="1" applyBorder="1" applyAlignment="1" applyProtection="1">
      <alignment vertical="center" wrapText="1" shrinkToFit="1"/>
      <protection locked="0"/>
    </xf>
    <xf numFmtId="49" fontId="17" fillId="0" borderId="5" xfId="0" applyNumberFormat="1" applyFont="1" applyFill="1" applyBorder="1" applyAlignment="1" applyProtection="1">
      <alignment horizontal="center" vertical="top" wrapText="1" readingOrder="1"/>
      <protection locked="0"/>
    </xf>
    <xf numFmtId="164" fontId="17" fillId="0" borderId="5" xfId="0" applyNumberFormat="1" applyFont="1" applyFill="1" applyBorder="1" applyAlignment="1" applyProtection="1">
      <alignment vertical="top" wrapText="1" readingOrder="1"/>
      <protection locked="0"/>
    </xf>
    <xf numFmtId="0" fontId="17" fillId="0" borderId="0" xfId="0" applyFont="1" applyFill="1" applyBorder="1"/>
    <xf numFmtId="49" fontId="17" fillId="0" borderId="4" xfId="0" applyNumberFormat="1" applyFont="1" applyFill="1" applyBorder="1" applyAlignment="1" applyProtection="1">
      <alignment horizontal="center" vertical="top" wrapText="1" readingOrder="1"/>
      <protection locked="0"/>
    </xf>
    <xf numFmtId="0" fontId="7" fillId="0" borderId="25" xfId="0" applyFont="1" applyFill="1" applyBorder="1" applyAlignment="1" applyProtection="1">
      <alignment horizontal="center" vertical="center" wrapText="1"/>
      <protection locked="0"/>
    </xf>
    <xf numFmtId="0" fontId="6" fillId="0" borderId="20" xfId="0" applyNumberFormat="1" applyFont="1" applyFill="1" applyBorder="1" applyAlignment="1" applyProtection="1">
      <alignment horizontal="center" vertical="top" wrapText="1" shrinkToFit="1" readingOrder="1"/>
      <protection locked="0"/>
    </xf>
    <xf numFmtId="0" fontId="3" fillId="0" borderId="5" xfId="1" applyNumberFormat="1" applyFont="1" applyFill="1" applyBorder="1" applyAlignment="1">
      <alignment horizontal="center" vertical="top" wrapText="1" readingOrder="1"/>
    </xf>
    <xf numFmtId="168" fontId="12" fillId="0" borderId="5" xfId="0" applyNumberFormat="1" applyFont="1" applyFill="1" applyBorder="1"/>
    <xf numFmtId="0" fontId="20" fillId="0" borderId="1" xfId="0" applyNumberFormat="1" applyFont="1" applyFill="1" applyBorder="1" applyAlignment="1" applyProtection="1">
      <alignment horizontal="center" vertical="top" wrapText="1" shrinkToFit="1"/>
      <protection locked="0"/>
    </xf>
    <xf numFmtId="0" fontId="20" fillId="0" borderId="1" xfId="0" applyFont="1" applyFill="1" applyBorder="1" applyAlignment="1" applyProtection="1">
      <alignment horizontal="left" vertical="top" wrapText="1" readingOrder="1"/>
      <protection locked="0"/>
    </xf>
    <xf numFmtId="0" fontId="4" fillId="0" borderId="37" xfId="0" applyFont="1" applyFill="1" applyBorder="1" applyAlignment="1" applyProtection="1">
      <alignment horizontal="center" vertical="top" wrapText="1" readingOrder="1"/>
      <protection locked="0"/>
    </xf>
    <xf numFmtId="0" fontId="7" fillId="0" borderId="5" xfId="0" applyNumberFormat="1" applyFont="1" applyFill="1" applyBorder="1" applyAlignment="1" applyProtection="1">
      <alignment horizontal="center" vertical="top" wrapText="1" shrinkToFit="1"/>
      <protection locked="0"/>
    </xf>
    <xf numFmtId="164" fontId="7" fillId="0" borderId="32" xfId="0" applyNumberFormat="1" applyFont="1" applyFill="1" applyBorder="1" applyAlignment="1" applyProtection="1">
      <alignment vertical="top" wrapText="1" readingOrder="1"/>
      <protection locked="0"/>
    </xf>
    <xf numFmtId="164" fontId="8" fillId="0" borderId="32" xfId="0" applyNumberFormat="1" applyFont="1" applyFill="1" applyBorder="1" applyAlignment="1" applyProtection="1">
      <alignment vertical="top" wrapText="1" readingOrder="1"/>
      <protection locked="0"/>
    </xf>
    <xf numFmtId="164" fontId="8" fillId="0" borderId="14" xfId="0" applyNumberFormat="1" applyFont="1" applyFill="1" applyBorder="1" applyAlignment="1" applyProtection="1">
      <alignment vertical="top" wrapText="1" readingOrder="1"/>
      <protection locked="0"/>
    </xf>
    <xf numFmtId="164" fontId="8" fillId="0" borderId="5" xfId="0" applyNumberFormat="1" applyFont="1" applyFill="1" applyBorder="1" applyAlignment="1" applyProtection="1">
      <alignment vertical="top" wrapText="1" readingOrder="1"/>
      <protection locked="0"/>
    </xf>
    <xf numFmtId="0" fontId="7" fillId="0" borderId="3" xfId="0" applyFont="1" applyFill="1" applyBorder="1" applyAlignment="1" applyProtection="1">
      <alignment horizontal="left" vertical="top" wrapText="1" readingOrder="1"/>
      <protection locked="0"/>
    </xf>
    <xf numFmtId="0" fontId="4" fillId="0" borderId="3" xfId="0" applyNumberFormat="1" applyFont="1" applyFill="1" applyBorder="1" applyAlignment="1" applyProtection="1">
      <alignment horizontal="center" vertical="top" wrapText="1" shrinkToFit="1"/>
      <protection locked="0"/>
    </xf>
    <xf numFmtId="14" fontId="4" fillId="0" borderId="3" xfId="0" applyNumberFormat="1" applyFont="1" applyFill="1" applyBorder="1" applyAlignment="1" applyProtection="1">
      <alignment horizontal="center" vertical="top" wrapText="1" shrinkToFit="1"/>
      <protection locked="0"/>
    </xf>
    <xf numFmtId="49" fontId="4" fillId="0" borderId="3" xfId="0" applyNumberFormat="1" applyFont="1" applyFill="1" applyBorder="1" applyAlignment="1" applyProtection="1">
      <alignment horizontal="center" vertical="top" wrapText="1" readingOrder="1"/>
      <protection locked="0"/>
    </xf>
    <xf numFmtId="166" fontId="4" fillId="0" borderId="3" xfId="0" applyNumberFormat="1" applyFont="1" applyFill="1" applyBorder="1" applyAlignment="1" applyProtection="1">
      <alignment vertical="top" wrapText="1" readingOrder="1"/>
      <protection locked="0"/>
    </xf>
    <xf numFmtId="49" fontId="4" fillId="0" borderId="40" xfId="0" applyNumberFormat="1" applyFont="1" applyFill="1" applyBorder="1" applyAlignment="1" applyProtection="1">
      <alignment horizontal="center" vertical="top" wrapText="1" readingOrder="1"/>
      <protection locked="0"/>
    </xf>
    <xf numFmtId="49" fontId="4" fillId="0" borderId="41" xfId="0" applyNumberFormat="1" applyFont="1" applyFill="1" applyBorder="1" applyAlignment="1" applyProtection="1">
      <alignment horizontal="center" vertical="top" wrapText="1" readingOrder="1"/>
      <protection locked="0"/>
    </xf>
    <xf numFmtId="49" fontId="4" fillId="0" borderId="18" xfId="0" applyNumberFormat="1" applyFont="1" applyFill="1" applyBorder="1" applyAlignment="1" applyProtection="1">
      <alignment horizontal="center" vertical="top" wrapText="1" readingOrder="1"/>
      <protection locked="0"/>
    </xf>
    <xf numFmtId="49" fontId="4" fillId="0" borderId="30" xfId="0" applyNumberFormat="1" applyFont="1" applyFill="1" applyBorder="1" applyAlignment="1" applyProtection="1">
      <alignment horizontal="center" vertical="top" wrapText="1" readingOrder="1"/>
      <protection locked="0"/>
    </xf>
    <xf numFmtId="49" fontId="4" fillId="0" borderId="21" xfId="0" applyNumberFormat="1" applyFont="1" applyFill="1" applyBorder="1" applyAlignment="1" applyProtection="1">
      <alignment horizontal="center" vertical="top" wrapText="1" readingOrder="1"/>
      <protection locked="0"/>
    </xf>
    <xf numFmtId="166" fontId="7" fillId="0" borderId="3" xfId="0" applyNumberFormat="1" applyFont="1" applyFill="1" applyBorder="1" applyAlignment="1" applyProtection="1">
      <alignment vertical="top" wrapText="1" readingOrder="1"/>
      <protection locked="0"/>
    </xf>
    <xf numFmtId="164" fontId="7" fillId="0" borderId="3" xfId="0" applyNumberFormat="1" applyFont="1" applyFill="1" applyBorder="1" applyAlignment="1" applyProtection="1">
      <alignment vertical="top" wrapText="1" readingOrder="1"/>
      <protection locked="0"/>
    </xf>
    <xf numFmtId="164" fontId="4" fillId="0" borderId="3" xfId="0" applyNumberFormat="1" applyFont="1" applyFill="1" applyBorder="1" applyAlignment="1" applyProtection="1">
      <alignment vertical="top" wrapText="1" readingOrder="1"/>
      <protection locked="0"/>
    </xf>
    <xf numFmtId="14" fontId="4" fillId="0" borderId="11" xfId="0" applyNumberFormat="1" applyFont="1" applyFill="1" applyBorder="1" applyAlignment="1" applyProtection="1">
      <alignment horizontal="center" vertical="center" wrapText="1" shrinkToFit="1"/>
      <protection locked="0"/>
    </xf>
    <xf numFmtId="165" fontId="7" fillId="0" borderId="1" xfId="0" applyNumberFormat="1" applyFont="1" applyFill="1" applyBorder="1" applyAlignment="1" applyProtection="1">
      <alignment vertical="top" wrapText="1" readingOrder="1"/>
      <protection locked="0"/>
    </xf>
    <xf numFmtId="14" fontId="3" fillId="0" borderId="3" xfId="0" applyNumberFormat="1" applyFont="1" applyFill="1" applyBorder="1" applyAlignment="1" applyProtection="1">
      <alignment horizontal="center" vertical="center" wrapText="1" shrinkToFit="1"/>
      <protection locked="0"/>
    </xf>
    <xf numFmtId="165" fontId="7" fillId="0" borderId="3" xfId="0" applyNumberFormat="1" applyFont="1" applyFill="1" applyBorder="1" applyAlignment="1" applyProtection="1">
      <alignment vertical="top" wrapText="1" readingOrder="1"/>
      <protection locked="0"/>
    </xf>
    <xf numFmtId="165" fontId="4" fillId="0" borderId="38" xfId="0" applyNumberFormat="1" applyFont="1" applyFill="1" applyBorder="1" applyAlignment="1" applyProtection="1">
      <alignment vertical="top" wrapText="1" readingOrder="1"/>
      <protection locked="0"/>
    </xf>
    <xf numFmtId="0" fontId="3" fillId="0" borderId="11" xfId="0" applyNumberFormat="1" applyFont="1" applyFill="1" applyBorder="1" applyAlignment="1" applyProtection="1">
      <alignment horizontal="center" vertical="center" wrapText="1" shrinkToFit="1"/>
      <protection locked="0"/>
    </xf>
    <xf numFmtId="14" fontId="3" fillId="0" borderId="11" xfId="0" applyNumberFormat="1" applyFont="1" applyFill="1" applyBorder="1" applyAlignment="1" applyProtection="1">
      <alignment horizontal="center" vertical="center" wrapText="1" shrinkToFit="1"/>
      <protection locked="0"/>
    </xf>
    <xf numFmtId="165" fontId="7" fillId="0" borderId="11" xfId="0" applyNumberFormat="1" applyFont="1" applyFill="1" applyBorder="1" applyAlignment="1" applyProtection="1">
      <alignment vertical="top" wrapText="1" readingOrder="1"/>
      <protection locked="0"/>
    </xf>
    <xf numFmtId="166" fontId="7" fillId="0" borderId="1" xfId="0" applyNumberFormat="1" applyFont="1" applyFill="1" applyBorder="1" applyAlignment="1" applyProtection="1">
      <alignment vertical="top" wrapText="1" readingOrder="1"/>
      <protection locked="0"/>
    </xf>
    <xf numFmtId="0" fontId="9" fillId="0" borderId="3" xfId="0" applyNumberFormat="1" applyFont="1" applyFill="1" applyBorder="1" applyAlignment="1" applyProtection="1">
      <alignment horizontal="center" vertical="top" wrapText="1" shrinkToFit="1"/>
      <protection locked="0"/>
    </xf>
    <xf numFmtId="0" fontId="7" fillId="0" borderId="3" xfId="0" applyNumberFormat="1" applyFont="1" applyFill="1" applyBorder="1" applyAlignment="1" applyProtection="1">
      <alignment horizontal="center" vertical="top" wrapText="1" shrinkToFit="1"/>
      <protection locked="0"/>
    </xf>
    <xf numFmtId="14" fontId="7" fillId="0" borderId="3" xfId="0" applyNumberFormat="1" applyFont="1" applyFill="1" applyBorder="1" applyAlignment="1" applyProtection="1">
      <alignment horizontal="center" vertical="top" wrapText="1" shrinkToFit="1"/>
      <protection locked="0"/>
    </xf>
    <xf numFmtId="0" fontId="9" fillId="0" borderId="11" xfId="0" applyNumberFormat="1" applyFont="1" applyFill="1" applyBorder="1" applyAlignment="1" applyProtection="1">
      <alignment horizontal="center" vertical="top" wrapText="1" shrinkToFit="1"/>
      <protection locked="0"/>
    </xf>
    <xf numFmtId="0" fontId="7" fillId="0" borderId="20" xfId="0" applyNumberFormat="1" applyFont="1" applyFill="1" applyBorder="1" applyAlignment="1" applyProtection="1">
      <alignment horizontal="center" vertical="top" wrapText="1" shrinkToFit="1"/>
      <protection locked="0"/>
    </xf>
    <xf numFmtId="14" fontId="7" fillId="0" borderId="5" xfId="0" applyNumberFormat="1" applyFont="1" applyFill="1" applyBorder="1" applyAlignment="1" applyProtection="1">
      <alignment horizontal="center" vertical="top" wrapText="1" shrinkToFit="1"/>
      <protection locked="0"/>
    </xf>
    <xf numFmtId="0" fontId="7" fillId="0" borderId="42" xfId="0" applyFont="1" applyFill="1" applyBorder="1" applyAlignment="1" applyProtection="1">
      <alignment horizontal="center" vertical="top" wrapText="1" readingOrder="1"/>
      <protection locked="0"/>
    </xf>
    <xf numFmtId="0" fontId="7" fillId="0" borderId="43" xfId="0" applyFont="1" applyFill="1" applyBorder="1" applyAlignment="1" applyProtection="1">
      <alignment horizontal="center" vertical="top" wrapText="1" readingOrder="1"/>
      <protection locked="0"/>
    </xf>
    <xf numFmtId="0" fontId="7" fillId="0" borderId="12" xfId="0" applyFont="1" applyFill="1" applyBorder="1" applyAlignment="1" applyProtection="1">
      <alignment horizontal="center" vertical="top" wrapText="1" readingOrder="1"/>
      <protection locked="0"/>
    </xf>
    <xf numFmtId="0" fontId="7" fillId="0" borderId="3" xfId="1" applyNumberFormat="1" applyFont="1" applyFill="1" applyBorder="1" applyAlignment="1">
      <alignment horizontal="center" vertical="top" wrapText="1"/>
    </xf>
    <xf numFmtId="49" fontId="4" fillId="0" borderId="44" xfId="0" applyNumberFormat="1" applyFont="1" applyFill="1" applyBorder="1" applyAlignment="1" applyProtection="1">
      <alignment horizontal="center" vertical="top" wrapText="1" readingOrder="1"/>
      <protection locked="0"/>
    </xf>
    <xf numFmtId="0" fontId="9" fillId="0" borderId="2" xfId="0" applyNumberFormat="1" applyFont="1" applyFill="1" applyBorder="1" applyAlignment="1" applyProtection="1">
      <alignment horizontal="center" vertical="top" wrapText="1" shrinkToFit="1"/>
      <protection locked="0"/>
    </xf>
    <xf numFmtId="14" fontId="9" fillId="0" borderId="2" xfId="0" applyNumberFormat="1" applyFont="1" applyFill="1" applyBorder="1" applyAlignment="1" applyProtection="1">
      <alignment horizontal="center" vertical="top" wrapText="1" shrinkToFit="1"/>
      <protection locked="0"/>
    </xf>
    <xf numFmtId="0" fontId="7" fillId="0" borderId="2" xfId="0" applyNumberFormat="1" applyFont="1" applyFill="1" applyBorder="1" applyAlignment="1" applyProtection="1">
      <alignment horizontal="center" vertical="top" wrapText="1" shrinkToFit="1"/>
      <protection locked="0"/>
    </xf>
    <xf numFmtId="0" fontId="4" fillId="0" borderId="12" xfId="0" applyFont="1" applyFill="1" applyBorder="1" applyAlignment="1" applyProtection="1">
      <alignment horizontal="center" vertical="top" wrapText="1" readingOrder="1"/>
      <protection locked="0"/>
    </xf>
    <xf numFmtId="0" fontId="4" fillId="0" borderId="34" xfId="0" applyFont="1" applyFill="1" applyBorder="1" applyAlignment="1" applyProtection="1">
      <alignment horizontal="center" vertical="top" wrapText="1" readingOrder="1"/>
      <protection locked="0"/>
    </xf>
    <xf numFmtId="164" fontId="4" fillId="0" borderId="6" xfId="0" applyNumberFormat="1" applyFont="1" applyFill="1" applyBorder="1" applyAlignment="1" applyProtection="1">
      <alignment vertical="top" wrapText="1" readingOrder="1"/>
      <protection locked="0"/>
    </xf>
    <xf numFmtId="4" fontId="4" fillId="0" borderId="5" xfId="0" applyNumberFormat="1" applyFont="1" applyFill="1" applyBorder="1" applyAlignment="1" applyProtection="1">
      <alignment vertical="top" wrapText="1" readingOrder="1"/>
      <protection locked="0"/>
    </xf>
    <xf numFmtId="164" fontId="4" fillId="0" borderId="37" xfId="0" applyNumberFormat="1" applyFont="1" applyFill="1" applyBorder="1" applyAlignment="1" applyProtection="1">
      <alignment vertical="top" wrapText="1" readingOrder="1"/>
      <protection locked="0"/>
    </xf>
    <xf numFmtId="164" fontId="4" fillId="0" borderId="45" xfId="0" applyNumberFormat="1" applyFont="1" applyFill="1" applyBorder="1" applyAlignment="1" applyProtection="1">
      <alignment vertical="top" wrapText="1" readingOrder="1"/>
      <protection locked="0"/>
    </xf>
    <xf numFmtId="166" fontId="4" fillId="0" borderId="38" xfId="0" applyNumberFormat="1" applyFont="1" applyFill="1" applyBorder="1" applyAlignment="1" applyProtection="1">
      <alignment vertical="top" wrapText="1" readingOrder="1"/>
      <protection locked="0"/>
    </xf>
    <xf numFmtId="0" fontId="6" fillId="0" borderId="46" xfId="0" applyNumberFormat="1" applyFont="1" applyFill="1" applyBorder="1" applyAlignment="1" applyProtection="1">
      <alignment horizontal="center" vertical="center" wrapText="1" shrinkToFit="1"/>
      <protection locked="0"/>
    </xf>
    <xf numFmtId="0" fontId="6" fillId="0" borderId="4" xfId="0" applyNumberFormat="1" applyFont="1" applyFill="1" applyBorder="1" applyAlignment="1" applyProtection="1">
      <alignment horizontal="center" vertical="center" wrapText="1" shrinkToFit="1"/>
      <protection locked="0"/>
    </xf>
    <xf numFmtId="0" fontId="6" fillId="0" borderId="47" xfId="0" applyNumberFormat="1" applyFont="1" applyFill="1" applyBorder="1" applyAlignment="1" applyProtection="1">
      <alignment horizontal="center" vertical="center" wrapText="1" shrinkToFit="1"/>
      <protection locked="0"/>
    </xf>
    <xf numFmtId="0" fontId="4" fillId="0" borderId="23" xfId="0" applyFont="1" applyFill="1" applyBorder="1" applyAlignment="1" applyProtection="1">
      <alignment vertical="top" wrapText="1" readingOrder="1"/>
      <protection locked="0"/>
    </xf>
    <xf numFmtId="0" fontId="4" fillId="0" borderId="23" xfId="0" applyFont="1" applyFill="1" applyBorder="1" applyAlignment="1">
      <alignment horizontal="center" vertical="top"/>
    </xf>
    <xf numFmtId="0" fontId="3" fillId="0" borderId="1" xfId="0" applyNumberFormat="1" applyFont="1" applyFill="1" applyBorder="1" applyAlignment="1" applyProtection="1">
      <alignment vertical="top" wrapText="1" shrinkToFit="1"/>
      <protection locked="0"/>
    </xf>
    <xf numFmtId="0" fontId="6" fillId="0" borderId="1" xfId="0" applyNumberFormat="1" applyFont="1" applyFill="1" applyBorder="1" applyAlignment="1" applyProtection="1">
      <alignment vertical="top" wrapText="1" shrinkToFit="1"/>
      <protection locked="0"/>
    </xf>
    <xf numFmtId="0" fontId="6" fillId="0" borderId="18" xfId="0" applyNumberFormat="1" applyFont="1" applyFill="1" applyBorder="1" applyAlignment="1" applyProtection="1">
      <alignment vertical="top" wrapText="1" shrinkToFit="1"/>
      <protection locked="0"/>
    </xf>
    <xf numFmtId="166" fontId="7" fillId="0" borderId="7" xfId="0" applyNumberFormat="1" applyFont="1" applyFill="1" applyBorder="1" applyAlignment="1" applyProtection="1">
      <alignment vertical="top" wrapText="1" readingOrder="1"/>
      <protection locked="0"/>
    </xf>
    <xf numFmtId="0" fontId="17" fillId="0" borderId="1" xfId="0" applyFont="1" applyFill="1" applyBorder="1" applyAlignment="1" applyProtection="1">
      <alignment vertical="top" wrapText="1" readingOrder="1"/>
      <protection locked="0"/>
    </xf>
    <xf numFmtId="0" fontId="17" fillId="0" borderId="4" xfId="0" applyFont="1" applyFill="1" applyBorder="1" applyAlignment="1" applyProtection="1">
      <alignment vertical="top" wrapText="1" readingOrder="1"/>
      <protection locked="0"/>
    </xf>
    <xf numFmtId="0" fontId="4" fillId="0" borderId="23" xfId="0" applyFont="1" applyFill="1" applyBorder="1" applyAlignment="1" applyProtection="1">
      <alignment horizontal="center" vertical="top" wrapText="1" readingOrder="1"/>
      <protection locked="0"/>
    </xf>
    <xf numFmtId="0" fontId="7" fillId="0" borderId="10" xfId="0" applyFont="1" applyFill="1" applyBorder="1" applyAlignment="1" applyProtection="1">
      <alignment horizontal="center" vertical="top" wrapText="1" readingOrder="1"/>
      <protection locked="0"/>
    </xf>
    <xf numFmtId="0" fontId="7" fillId="0" borderId="34" xfId="0" applyFont="1" applyFill="1" applyBorder="1" applyAlignment="1" applyProtection="1">
      <alignment horizontal="center" vertical="top" wrapText="1" readingOrder="1"/>
      <protection locked="0"/>
    </xf>
    <xf numFmtId="0" fontId="2" fillId="0" borderId="0" xfId="0" applyFont="1" applyFill="1" applyAlignment="1">
      <alignment horizontal="center" vertical="top"/>
    </xf>
    <xf numFmtId="0" fontId="17" fillId="0" borderId="18" xfId="0" applyFont="1" applyFill="1" applyBorder="1" applyAlignment="1" applyProtection="1">
      <alignment vertical="top" wrapText="1" readingOrder="1"/>
      <protection locked="0"/>
    </xf>
    <xf numFmtId="0" fontId="3" fillId="0" borderId="17" xfId="0" applyNumberFormat="1" applyFont="1" applyFill="1" applyBorder="1" applyAlignment="1" applyProtection="1">
      <alignment horizontal="center" vertical="top" wrapText="1" shrinkToFit="1"/>
      <protection locked="0"/>
    </xf>
    <xf numFmtId="0" fontId="4" fillId="0" borderId="2" xfId="0" applyNumberFormat="1" applyFont="1" applyFill="1" applyBorder="1" applyAlignment="1" applyProtection="1">
      <alignment horizontal="center" vertical="top" wrapText="1" readingOrder="1"/>
      <protection locked="0"/>
    </xf>
    <xf numFmtId="0" fontId="6" fillId="0" borderId="1" xfId="0" applyNumberFormat="1" applyFont="1" applyFill="1" applyBorder="1" applyAlignment="1" applyProtection="1">
      <alignment horizontal="center" vertical="center" wrapText="1" shrinkToFit="1"/>
      <protection locked="0"/>
    </xf>
    <xf numFmtId="0" fontId="4" fillId="0" borderId="1" xfId="0" applyFont="1" applyFill="1" applyBorder="1" applyAlignment="1">
      <alignment horizontal="center" vertical="top"/>
    </xf>
    <xf numFmtId="0" fontId="6" fillId="0" borderId="23" xfId="0" applyNumberFormat="1" applyFont="1" applyFill="1" applyBorder="1" applyAlignment="1" applyProtection="1">
      <alignment horizontal="center" vertical="top" wrapText="1" shrinkToFit="1"/>
      <protection locked="0"/>
    </xf>
    <xf numFmtId="0" fontId="4" fillId="0" borderId="1" xfId="0" applyNumberFormat="1" applyFont="1" applyFill="1" applyBorder="1" applyAlignment="1" applyProtection="1">
      <alignment vertical="top" wrapText="1" shrinkToFit="1"/>
      <protection locked="0"/>
    </xf>
    <xf numFmtId="0" fontId="4" fillId="0" borderId="12" xfId="0" applyNumberFormat="1" applyFont="1" applyFill="1" applyBorder="1" applyAlignment="1" applyProtection="1">
      <alignment horizontal="center" vertical="top" wrapText="1" shrinkToFit="1"/>
      <protection locked="0"/>
    </xf>
    <xf numFmtId="0" fontId="4" fillId="0" borderId="21" xfId="0" applyNumberFormat="1" applyFont="1" applyFill="1" applyBorder="1" applyAlignment="1" applyProtection="1">
      <alignment horizontal="center" vertical="top" wrapText="1" shrinkToFit="1"/>
      <protection locked="0"/>
    </xf>
    <xf numFmtId="0" fontId="3" fillId="0" borderId="40" xfId="0" applyNumberFormat="1" applyFont="1" applyFill="1" applyBorder="1" applyAlignment="1" applyProtection="1">
      <alignment horizontal="center" vertical="center" wrapText="1" shrinkToFit="1"/>
      <protection locked="0"/>
    </xf>
    <xf numFmtId="0" fontId="3" fillId="0" borderId="1" xfId="0" applyNumberFormat="1" applyFont="1" applyFill="1" applyBorder="1" applyAlignment="1" applyProtection="1">
      <alignment vertical="center" wrapText="1" shrinkToFit="1"/>
      <protection locked="0"/>
    </xf>
    <xf numFmtId="0" fontId="3" fillId="0" borderId="8" xfId="0" applyNumberFormat="1" applyFont="1" applyFill="1" applyBorder="1" applyAlignment="1" applyProtection="1">
      <alignment vertical="center" wrapText="1" shrinkToFit="1"/>
      <protection locked="0"/>
    </xf>
    <xf numFmtId="0" fontId="4" fillId="0" borderId="2" xfId="1" applyNumberFormat="1" applyFont="1" applyFill="1" applyBorder="1" applyAlignment="1">
      <alignment horizontal="center" vertical="top" wrapText="1"/>
    </xf>
    <xf numFmtId="14" fontId="6" fillId="0" borderId="5" xfId="0" applyNumberFormat="1" applyFont="1" applyFill="1" applyBorder="1" applyAlignment="1" applyProtection="1">
      <alignment horizontal="center" vertical="top" wrapText="1" shrinkToFit="1"/>
      <protection locked="0"/>
    </xf>
    <xf numFmtId="0" fontId="3" fillId="0" borderId="37" xfId="0" applyNumberFormat="1" applyFont="1" applyFill="1" applyBorder="1" applyAlignment="1" applyProtection="1">
      <alignment horizontal="center" vertical="top" wrapText="1" shrinkToFit="1"/>
      <protection locked="0"/>
    </xf>
    <xf numFmtId="0" fontId="6" fillId="0" borderId="18" xfId="1" applyFont="1" applyFill="1" applyBorder="1" applyAlignment="1">
      <alignment horizontal="center" vertical="top" wrapText="1"/>
    </xf>
    <xf numFmtId="0" fontId="4" fillId="0" borderId="11" xfId="1" applyNumberFormat="1" applyFont="1" applyFill="1" applyBorder="1" applyAlignment="1">
      <alignment horizontal="center" vertical="top" wrapText="1"/>
    </xf>
    <xf numFmtId="0" fontId="3" fillId="0" borderId="28" xfId="0" applyNumberFormat="1" applyFont="1" applyFill="1" applyBorder="1" applyAlignment="1" applyProtection="1">
      <alignment horizontal="center" vertical="center" wrapText="1" shrinkToFit="1"/>
      <protection locked="0"/>
    </xf>
    <xf numFmtId="0" fontId="3" fillId="0" borderId="48" xfId="0" applyNumberFormat="1" applyFont="1" applyFill="1" applyBorder="1" applyAlignment="1" applyProtection="1">
      <alignment horizontal="center" vertical="top" wrapText="1" shrinkToFit="1"/>
      <protection locked="0"/>
    </xf>
    <xf numFmtId="0" fontId="3" fillId="0" borderId="42" xfId="0" applyNumberFormat="1" applyFont="1" applyFill="1" applyBorder="1" applyAlignment="1" applyProtection="1">
      <alignment horizontal="center" vertical="top" wrapText="1" shrinkToFit="1"/>
      <protection locked="0"/>
    </xf>
    <xf numFmtId="14" fontId="3" fillId="0" borderId="42" xfId="0" applyNumberFormat="1" applyFont="1" applyFill="1" applyBorder="1" applyAlignment="1" applyProtection="1">
      <alignment horizontal="center" vertical="top" wrapText="1" shrinkToFit="1"/>
      <protection locked="0"/>
    </xf>
    <xf numFmtId="0" fontId="3" fillId="0" borderId="38" xfId="0" applyNumberFormat="1" applyFont="1" applyFill="1" applyBorder="1" applyAlignment="1" applyProtection="1">
      <alignment horizontal="center" vertical="top" wrapText="1" shrinkToFit="1"/>
      <protection locked="0"/>
    </xf>
    <xf numFmtId="0" fontId="3" fillId="0" borderId="32" xfId="0" applyNumberFormat="1" applyFont="1" applyFill="1" applyBorder="1" applyAlignment="1" applyProtection="1">
      <alignment horizontal="center" vertical="top" wrapText="1" shrinkToFit="1"/>
      <protection locked="0"/>
    </xf>
    <xf numFmtId="0" fontId="3" fillId="0" borderId="49" xfId="0" applyNumberFormat="1" applyFont="1" applyFill="1" applyBorder="1" applyAlignment="1" applyProtection="1">
      <alignment horizontal="center" vertical="top" wrapText="1" shrinkToFit="1"/>
      <protection locked="0"/>
    </xf>
    <xf numFmtId="14" fontId="3" fillId="0" borderId="32" xfId="0" applyNumberFormat="1" applyFont="1" applyFill="1" applyBorder="1" applyAlignment="1" applyProtection="1">
      <alignment horizontal="center" vertical="top" wrapText="1" shrinkToFit="1"/>
      <protection locked="0"/>
    </xf>
    <xf numFmtId="14" fontId="3" fillId="0" borderId="18" xfId="0" applyNumberFormat="1" applyFont="1" applyFill="1" applyBorder="1" applyAlignment="1" applyProtection="1">
      <alignment horizontal="center" vertical="top" wrapText="1" shrinkToFit="1"/>
      <protection locked="0"/>
    </xf>
    <xf numFmtId="14" fontId="3" fillId="0" borderId="19" xfId="0" applyNumberFormat="1" applyFont="1" applyFill="1" applyBorder="1" applyAlignment="1" applyProtection="1">
      <alignment horizontal="center" vertical="top" wrapText="1" shrinkToFit="1"/>
      <protection locked="0"/>
    </xf>
    <xf numFmtId="0" fontId="3" fillId="0" borderId="3" xfId="0" applyNumberFormat="1" applyFont="1" applyFill="1" applyBorder="1" applyAlignment="1" applyProtection="1">
      <alignment horizontal="center" vertical="top" wrapText="1" shrinkToFit="1"/>
      <protection locked="0"/>
    </xf>
    <xf numFmtId="14" fontId="3" fillId="0" borderId="3" xfId="0" applyNumberFormat="1" applyFont="1" applyFill="1" applyBorder="1" applyAlignment="1" applyProtection="1">
      <alignment horizontal="center" vertical="top" wrapText="1" shrinkToFit="1"/>
      <protection locked="0"/>
    </xf>
    <xf numFmtId="0" fontId="4" fillId="0" borderId="32" xfId="0" applyNumberFormat="1" applyFont="1" applyFill="1" applyBorder="1" applyAlignment="1" applyProtection="1">
      <alignment horizontal="center" vertical="top" wrapText="1" shrinkToFit="1"/>
      <protection locked="0"/>
    </xf>
    <xf numFmtId="14" fontId="4" fillId="0" borderId="49" xfId="0" applyNumberFormat="1" applyFont="1" applyFill="1" applyBorder="1" applyAlignment="1" applyProtection="1">
      <alignment horizontal="center" vertical="top" wrapText="1" shrinkToFit="1"/>
      <protection locked="0"/>
    </xf>
    <xf numFmtId="14" fontId="3" fillId="0" borderId="8" xfId="0" applyNumberFormat="1" applyFont="1" applyFill="1" applyBorder="1" applyAlignment="1" applyProtection="1">
      <alignment horizontal="center" vertical="top" wrapText="1" shrinkToFit="1"/>
      <protection locked="0"/>
    </xf>
    <xf numFmtId="0" fontId="3" fillId="0" borderId="5" xfId="1" applyNumberFormat="1" applyFont="1" applyFill="1" applyBorder="1" applyAlignment="1">
      <alignment horizontal="center" vertical="top" wrapText="1"/>
    </xf>
    <xf numFmtId="0" fontId="3" fillId="0" borderId="7" xfId="1" applyNumberFormat="1" applyFont="1" applyFill="1" applyBorder="1" applyAlignment="1">
      <alignment horizontal="center" vertical="top" wrapText="1"/>
    </xf>
    <xf numFmtId="0" fontId="4" fillId="0" borderId="37" xfId="0" applyNumberFormat="1" applyFont="1" applyFill="1" applyBorder="1" applyAlignment="1" applyProtection="1">
      <alignment horizontal="center" vertical="top" wrapText="1" shrinkToFit="1"/>
      <protection locked="0"/>
    </xf>
    <xf numFmtId="0" fontId="4" fillId="0" borderId="6" xfId="0" applyNumberFormat="1" applyFont="1" applyFill="1" applyBorder="1" applyAlignment="1" applyProtection="1">
      <alignment horizontal="center" vertical="center" wrapText="1" shrinkToFit="1"/>
      <protection locked="0"/>
    </xf>
    <xf numFmtId="0" fontId="4" fillId="0" borderId="4" xfId="0" applyNumberFormat="1" applyFont="1" applyFill="1" applyBorder="1" applyAlignment="1" applyProtection="1">
      <alignment horizontal="center" vertical="center" wrapText="1" shrinkToFit="1"/>
      <protection locked="0"/>
    </xf>
    <xf numFmtId="0" fontId="4" fillId="0" borderId="40" xfId="0" applyNumberFormat="1" applyFont="1" applyFill="1" applyBorder="1" applyAlignment="1" applyProtection="1">
      <alignment horizontal="center" vertical="top" wrapText="1" shrinkToFit="1"/>
      <protection locked="0"/>
    </xf>
    <xf numFmtId="0" fontId="4" fillId="0" borderId="18" xfId="0" applyFont="1" applyFill="1" applyBorder="1" applyAlignment="1" applyProtection="1">
      <alignment vertical="top" wrapText="1" readingOrder="1"/>
      <protection locked="0"/>
    </xf>
    <xf numFmtId="14" fontId="4" fillId="0" borderId="16" xfId="0" applyNumberFormat="1" applyFont="1" applyFill="1" applyBorder="1" applyAlignment="1" applyProtection="1">
      <alignment horizontal="center" vertical="top" wrapText="1" shrinkToFit="1"/>
      <protection locked="0"/>
    </xf>
    <xf numFmtId="166" fontId="7" fillId="0" borderId="18" xfId="0" applyNumberFormat="1" applyFont="1" applyFill="1" applyBorder="1" applyAlignment="1" applyProtection="1">
      <alignment vertical="top" wrapText="1" readingOrder="1"/>
      <protection locked="0"/>
    </xf>
    <xf numFmtId="0" fontId="3" fillId="0" borderId="16" xfId="0" applyNumberFormat="1" applyFont="1" applyFill="1" applyBorder="1" applyAlignment="1" applyProtection="1">
      <alignment horizontal="center" vertical="center" wrapText="1" shrinkToFit="1"/>
      <protection locked="0"/>
    </xf>
    <xf numFmtId="4" fontId="4" fillId="0" borderId="6" xfId="0" applyNumberFormat="1" applyFont="1" applyFill="1" applyBorder="1" applyAlignment="1" applyProtection="1">
      <alignment vertical="top" wrapText="1" readingOrder="1"/>
      <protection locked="0"/>
    </xf>
    <xf numFmtId="0" fontId="18" fillId="0" borderId="5" xfId="0" applyFont="1" applyFill="1" applyBorder="1" applyAlignment="1">
      <alignment horizontal="center" vertical="center" wrapText="1"/>
    </xf>
    <xf numFmtId="166" fontId="7" fillId="0" borderId="6" xfId="0" applyNumberFormat="1" applyFont="1" applyFill="1" applyBorder="1" applyAlignment="1" applyProtection="1">
      <alignment vertical="top" wrapText="1" readingOrder="1"/>
      <protection locked="0"/>
    </xf>
    <xf numFmtId="49" fontId="7" fillId="0" borderId="4" xfId="0" applyNumberFormat="1" applyFont="1" applyFill="1" applyBorder="1" applyAlignment="1" applyProtection="1">
      <alignment horizontal="center" vertical="top" wrapText="1" readingOrder="1"/>
      <protection locked="0"/>
    </xf>
    <xf numFmtId="166" fontId="7" fillId="0" borderId="4" xfId="0" applyNumberFormat="1" applyFont="1" applyFill="1" applyBorder="1" applyAlignment="1" applyProtection="1">
      <alignment vertical="top" wrapText="1" readingOrder="1"/>
      <protection locked="0"/>
    </xf>
    <xf numFmtId="0" fontId="6" fillId="0" borderId="2" xfId="0" applyNumberFormat="1" applyFont="1" applyFill="1" applyBorder="1" applyAlignment="1" applyProtection="1">
      <alignment horizontal="center" vertical="center" wrapText="1" shrinkToFit="1"/>
      <protection locked="0"/>
    </xf>
    <xf numFmtId="0" fontId="7" fillId="0" borderId="23" xfId="0" applyFont="1" applyFill="1" applyBorder="1" applyAlignment="1" applyProtection="1">
      <alignment horizontal="left" vertical="top" wrapText="1" readingOrder="1"/>
      <protection locked="0"/>
    </xf>
    <xf numFmtId="49" fontId="4" fillId="0" borderId="23" xfId="0" applyNumberFormat="1" applyFont="1" applyFill="1" applyBorder="1" applyAlignment="1" applyProtection="1">
      <alignment horizontal="center" vertical="top" wrapText="1" readingOrder="1"/>
      <protection locked="0"/>
    </xf>
    <xf numFmtId="164" fontId="4" fillId="0" borderId="23" xfId="0" applyNumberFormat="1" applyFont="1" applyFill="1" applyBorder="1" applyAlignment="1" applyProtection="1">
      <alignment vertical="top" wrapText="1" readingOrder="1"/>
      <protection locked="0"/>
    </xf>
    <xf numFmtId="165" fontId="4" fillId="0" borderId="2" xfId="0" applyNumberFormat="1" applyFont="1" applyFill="1" applyBorder="1" applyAlignment="1" applyProtection="1">
      <alignment vertical="top" wrapText="1" readingOrder="1"/>
      <protection locked="0"/>
    </xf>
    <xf numFmtId="49" fontId="4" fillId="0" borderId="10" xfId="0" applyNumberFormat="1" applyFont="1" applyFill="1" applyBorder="1" applyAlignment="1" applyProtection="1">
      <alignment horizontal="center" vertical="top" wrapText="1" readingOrder="1"/>
      <protection locked="0"/>
    </xf>
    <xf numFmtId="49" fontId="20" fillId="0" borderId="18" xfId="0" applyNumberFormat="1" applyFont="1" applyFill="1" applyBorder="1" applyAlignment="1" applyProtection="1">
      <alignment horizontal="center" vertical="top" wrapText="1" readingOrder="1"/>
      <protection locked="0"/>
    </xf>
    <xf numFmtId="49" fontId="20" fillId="0" borderId="30" xfId="0" applyNumberFormat="1" applyFont="1" applyFill="1" applyBorder="1" applyAlignment="1" applyProtection="1">
      <alignment horizontal="center" vertical="top" wrapText="1" readingOrder="1"/>
      <protection locked="0"/>
    </xf>
    <xf numFmtId="166" fontId="20" fillId="0" borderId="18" xfId="0" applyNumberFormat="1" applyFont="1" applyFill="1" applyBorder="1" applyAlignment="1" applyProtection="1">
      <alignment vertical="top" wrapText="1" readingOrder="1"/>
      <protection locked="0"/>
    </xf>
    <xf numFmtId="0" fontId="4" fillId="0" borderId="23" xfId="0" applyNumberFormat="1" applyFont="1" applyFill="1" applyBorder="1" applyAlignment="1" applyProtection="1">
      <alignment horizontal="center" vertical="center" wrapText="1" shrinkToFit="1"/>
      <protection locked="0"/>
    </xf>
    <xf numFmtId="0" fontId="4" fillId="0" borderId="23" xfId="0" applyNumberFormat="1" applyFont="1" applyFill="1" applyBorder="1" applyAlignment="1" applyProtection="1">
      <alignment horizontal="center" vertical="top" wrapText="1" shrinkToFit="1"/>
      <protection locked="0"/>
    </xf>
    <xf numFmtId="165" fontId="4" fillId="0" borderId="5" xfId="0" applyNumberFormat="1" applyFont="1" applyFill="1" applyBorder="1" applyAlignment="1" applyProtection="1">
      <alignment vertical="top" wrapText="1" readingOrder="1"/>
      <protection locked="0"/>
    </xf>
    <xf numFmtId="0" fontId="7" fillId="0" borderId="5" xfId="0" applyFont="1" applyFill="1" applyBorder="1" applyAlignment="1" applyProtection="1">
      <alignment horizontal="left" vertical="top" wrapText="1" readingOrder="1"/>
      <protection locked="0"/>
    </xf>
    <xf numFmtId="4" fontId="12" fillId="2" borderId="5" xfId="0" applyNumberFormat="1" applyFont="1" applyFill="1" applyBorder="1"/>
    <xf numFmtId="0" fontId="0" fillId="2" borderId="0" xfId="0" applyFill="1"/>
    <xf numFmtId="165" fontId="4" fillId="0" borderId="0" xfId="0" applyNumberFormat="1" applyFont="1" applyFill="1" applyBorder="1"/>
    <xf numFmtId="49" fontId="7" fillId="0" borderId="1" xfId="0" applyNumberFormat="1" applyFont="1" applyFill="1" applyBorder="1" applyAlignment="1" applyProtection="1">
      <alignment horizontal="center" vertical="top" wrapText="1" readingOrder="1"/>
      <protection locked="0"/>
    </xf>
    <xf numFmtId="0" fontId="6" fillId="0" borderId="16" xfId="0" applyNumberFormat="1" applyFont="1" applyFill="1" applyBorder="1" applyAlignment="1" applyProtection="1">
      <alignment horizontal="center" vertical="top" wrapText="1"/>
    </xf>
    <xf numFmtId="0" fontId="3" fillId="0" borderId="4" xfId="0" applyNumberFormat="1" applyFont="1" applyFill="1" applyBorder="1" applyAlignment="1" applyProtection="1">
      <alignment vertical="top" wrapText="1" shrinkToFit="1"/>
      <protection locked="0"/>
    </xf>
    <xf numFmtId="0" fontId="4" fillId="0" borderId="3" xfId="0" applyNumberFormat="1" applyFont="1" applyFill="1" applyBorder="1" applyAlignment="1" applyProtection="1">
      <alignment horizontal="center" vertical="center" wrapText="1" shrinkToFit="1"/>
      <protection locked="0"/>
    </xf>
    <xf numFmtId="14" fontId="4" fillId="0" borderId="3" xfId="0" applyNumberFormat="1" applyFont="1" applyFill="1" applyBorder="1" applyAlignment="1" applyProtection="1">
      <alignment horizontal="center" vertical="center" wrapText="1" shrinkToFit="1"/>
      <protection locked="0"/>
    </xf>
    <xf numFmtId="0" fontId="4" fillId="0" borderId="26" xfId="0" applyNumberFormat="1" applyFont="1" applyFill="1" applyBorder="1" applyAlignment="1" applyProtection="1">
      <alignment horizontal="center" vertical="top" wrapText="1" shrinkToFit="1"/>
      <protection locked="0"/>
    </xf>
    <xf numFmtId="0" fontId="3" fillId="0" borderId="6" xfId="0" applyNumberFormat="1" applyFont="1" applyFill="1" applyBorder="1" applyAlignment="1" applyProtection="1">
      <alignment vertical="top" wrapText="1" shrinkToFit="1"/>
      <protection locked="0"/>
    </xf>
    <xf numFmtId="166" fontId="7" fillId="0" borderId="5" xfId="0" applyNumberFormat="1" applyFont="1" applyFill="1" applyBorder="1" applyAlignment="1" applyProtection="1">
      <alignment vertical="top" wrapText="1" readingOrder="1"/>
      <protection locked="0"/>
    </xf>
    <xf numFmtId="49" fontId="20" fillId="0" borderId="5" xfId="0" applyNumberFormat="1" applyFont="1" applyFill="1" applyBorder="1" applyAlignment="1" applyProtection="1">
      <alignment horizontal="center" vertical="top" wrapText="1" readingOrder="1"/>
      <protection locked="0"/>
    </xf>
    <xf numFmtId="166" fontId="20" fillId="0" borderId="5" xfId="0" applyNumberFormat="1" applyFont="1" applyFill="1" applyBorder="1" applyAlignment="1" applyProtection="1">
      <alignment vertical="top" wrapText="1" readingOrder="1"/>
      <protection locked="0"/>
    </xf>
    <xf numFmtId="0" fontId="4" fillId="0" borderId="5" xfId="0" applyNumberFormat="1" applyFont="1" applyFill="1" applyBorder="1" applyAlignment="1" applyProtection="1">
      <alignment vertical="top" wrapText="1" shrinkToFit="1"/>
      <protection locked="0"/>
    </xf>
    <xf numFmtId="0" fontId="6" fillId="0" borderId="39" xfId="0" applyNumberFormat="1" applyFont="1" applyFill="1" applyBorder="1" applyAlignment="1" applyProtection="1">
      <alignment horizontal="center" vertical="top" wrapText="1"/>
    </xf>
    <xf numFmtId="0" fontId="4" fillId="0" borderId="39" xfId="0" applyFont="1" applyFill="1" applyBorder="1" applyAlignment="1" applyProtection="1">
      <alignment horizontal="center" vertical="top" wrapText="1" readingOrder="1"/>
      <protection locked="0"/>
    </xf>
    <xf numFmtId="0" fontId="7" fillId="0" borderId="53" xfId="0" applyFont="1" applyFill="1" applyBorder="1" applyAlignment="1" applyProtection="1">
      <alignment horizontal="center" vertical="top" wrapText="1" readingOrder="1"/>
      <protection locked="0"/>
    </xf>
    <xf numFmtId="164" fontId="7" fillId="0" borderId="37" xfId="0" applyNumberFormat="1" applyFont="1" applyFill="1" applyBorder="1" applyAlignment="1" applyProtection="1">
      <alignment vertical="top" wrapText="1" readingOrder="1"/>
      <protection locked="0"/>
    </xf>
    <xf numFmtId="49" fontId="4" fillId="0" borderId="32" xfId="0" applyNumberFormat="1" applyFont="1" applyFill="1" applyBorder="1" applyAlignment="1" applyProtection="1">
      <alignment horizontal="center" vertical="top" wrapText="1" readingOrder="1"/>
      <protection locked="0"/>
    </xf>
    <xf numFmtId="49" fontId="4" fillId="0" borderId="53" xfId="0" applyNumberFormat="1" applyFont="1" applyFill="1" applyBorder="1" applyAlignment="1" applyProtection="1">
      <alignment horizontal="center" vertical="top" wrapText="1" readingOrder="1"/>
      <protection locked="0"/>
    </xf>
    <xf numFmtId="4" fontId="14" fillId="2" borderId="0" xfId="0" applyNumberFormat="1" applyFont="1" applyFill="1"/>
    <xf numFmtId="49" fontId="12" fillId="2" borderId="5" xfId="0" applyNumberFormat="1" applyFont="1" applyFill="1" applyBorder="1" applyAlignment="1">
      <alignment horizontal="left"/>
    </xf>
    <xf numFmtId="4" fontId="12" fillId="3" borderId="5" xfId="0" applyNumberFormat="1" applyFont="1" applyFill="1" applyBorder="1"/>
    <xf numFmtId="49" fontId="0" fillId="3" borderId="0" xfId="0" applyNumberFormat="1" applyFill="1"/>
    <xf numFmtId="49" fontId="12" fillId="0" borderId="0" xfId="0" applyNumberFormat="1" applyFont="1" applyFill="1" applyAlignment="1">
      <alignment horizontal="center" vertical="center"/>
    </xf>
    <xf numFmtId="0" fontId="12" fillId="0" borderId="0" xfId="0" applyFont="1" applyFill="1"/>
    <xf numFmtId="4" fontId="12" fillId="0" borderId="0" xfId="0" applyNumberFormat="1" applyFont="1" applyFill="1"/>
    <xf numFmtId="0" fontId="12" fillId="2" borderId="0" xfId="0" applyFont="1" applyFill="1"/>
    <xf numFmtId="4" fontId="15" fillId="0" borderId="0" xfId="0" applyNumberFormat="1" applyFont="1" applyFill="1"/>
    <xf numFmtId="14" fontId="6" fillId="0" borderId="2" xfId="0" applyNumberFormat="1" applyFont="1" applyFill="1" applyBorder="1" applyAlignment="1" applyProtection="1">
      <alignment horizontal="center" vertical="top" wrapText="1"/>
    </xf>
    <xf numFmtId="49" fontId="12" fillId="0" borderId="27"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166" fontId="4" fillId="0" borderId="33" xfId="0" applyNumberFormat="1" applyFont="1" applyFill="1" applyBorder="1" applyAlignment="1" applyProtection="1">
      <alignment vertical="top" wrapText="1" readingOrder="1"/>
      <protection locked="0"/>
    </xf>
    <xf numFmtId="166" fontId="7" fillId="0" borderId="11" xfId="0" applyNumberFormat="1" applyFont="1" applyFill="1" applyBorder="1" applyAlignment="1" applyProtection="1">
      <alignment vertical="top" wrapText="1" readingOrder="1"/>
      <protection locked="0"/>
    </xf>
    <xf numFmtId="166" fontId="4" fillId="0" borderId="7" xfId="0" applyNumberFormat="1" applyFont="1" applyFill="1" applyBorder="1" applyAlignment="1" applyProtection="1">
      <alignment vertical="top" wrapText="1" readingOrder="1"/>
      <protection locked="0"/>
    </xf>
    <xf numFmtId="164" fontId="7" fillId="0" borderId="42" xfId="0" applyNumberFormat="1" applyFont="1" applyFill="1" applyBorder="1" applyAlignment="1" applyProtection="1">
      <alignment vertical="top" wrapText="1" readingOrder="1"/>
      <protection locked="0"/>
    </xf>
    <xf numFmtId="165" fontId="4" fillId="0" borderId="18" xfId="0" applyNumberFormat="1" applyFont="1" applyFill="1" applyBorder="1" applyAlignment="1" applyProtection="1">
      <alignment vertical="top" wrapText="1" readingOrder="1"/>
      <protection locked="0"/>
    </xf>
    <xf numFmtId="4" fontId="4" fillId="0" borderId="7" xfId="0" applyNumberFormat="1" applyFont="1" applyFill="1" applyBorder="1" applyAlignment="1" applyProtection="1">
      <alignment horizontal="right" vertical="center" wrapText="1" readingOrder="1"/>
      <protection locked="0"/>
    </xf>
    <xf numFmtId="0" fontId="4" fillId="0" borderId="7" xfId="0" applyFont="1" applyFill="1" applyBorder="1" applyAlignment="1" applyProtection="1">
      <alignment horizontal="right" vertical="center" wrapText="1" readingOrder="1"/>
      <protection locked="0"/>
    </xf>
    <xf numFmtId="4" fontId="4" fillId="0" borderId="34" xfId="0" applyNumberFormat="1" applyFont="1" applyFill="1" applyBorder="1" applyAlignment="1" applyProtection="1">
      <alignment horizontal="right" vertical="center" wrapText="1" readingOrder="1"/>
      <protection locked="0"/>
    </xf>
    <xf numFmtId="49" fontId="17" fillId="0" borderId="6" xfId="0" applyNumberFormat="1" applyFont="1" applyFill="1" applyBorder="1" applyAlignment="1" applyProtection="1">
      <alignment horizontal="center" vertical="top" wrapText="1" readingOrder="1"/>
      <protection locked="0"/>
    </xf>
    <xf numFmtId="0" fontId="7" fillId="0" borderId="36" xfId="0" applyFont="1" applyFill="1" applyBorder="1" applyAlignment="1" applyProtection="1">
      <alignment horizontal="center" vertical="top" wrapText="1" readingOrder="1"/>
      <protection locked="0"/>
    </xf>
    <xf numFmtId="0" fontId="4" fillId="0" borderId="2" xfId="0" applyFont="1" applyFill="1" applyBorder="1" applyAlignment="1" applyProtection="1">
      <alignment horizontal="center" vertical="top" wrapText="1"/>
      <protection locked="0"/>
    </xf>
    <xf numFmtId="49" fontId="12" fillId="0" borderId="5" xfId="0" applyNumberFormat="1" applyFont="1" applyFill="1" applyBorder="1" applyAlignment="1">
      <alignment horizontal="center" vertical="center"/>
    </xf>
    <xf numFmtId="49" fontId="12" fillId="0" borderId="27" xfId="0" applyNumberFormat="1" applyFont="1" applyFill="1" applyBorder="1" applyAlignment="1">
      <alignment horizontal="center" vertical="center"/>
    </xf>
    <xf numFmtId="166" fontId="4" fillId="0" borderId="11" xfId="0" applyNumberFormat="1" applyFont="1" applyFill="1" applyBorder="1" applyAlignment="1" applyProtection="1">
      <alignment vertical="top" wrapText="1" readingOrder="1"/>
      <protection locked="0"/>
    </xf>
    <xf numFmtId="166" fontId="4" fillId="0" borderId="12" xfId="0" applyNumberFormat="1" applyFont="1" applyFill="1" applyBorder="1" applyAlignment="1" applyProtection="1">
      <alignment vertical="top" wrapText="1" readingOrder="1"/>
      <protection locked="0"/>
    </xf>
    <xf numFmtId="49" fontId="12" fillId="0" borderId="27"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49" fontId="12" fillId="0" borderId="27" xfId="0" applyNumberFormat="1" applyFont="1" applyFill="1" applyBorder="1" applyAlignment="1">
      <alignment horizontal="center" vertical="center"/>
    </xf>
    <xf numFmtId="49" fontId="12" fillId="4" borderId="27" xfId="0" applyNumberFormat="1" applyFont="1" applyFill="1" applyBorder="1" applyAlignment="1">
      <alignment horizontal="center" vertical="center"/>
    </xf>
    <xf numFmtId="4" fontId="12" fillId="4" borderId="5" xfId="0" applyNumberFormat="1" applyFont="1" applyFill="1" applyBorder="1"/>
    <xf numFmtId="49" fontId="0" fillId="4" borderId="0" xfId="0" applyNumberFormat="1" applyFill="1"/>
    <xf numFmtId="0" fontId="0" fillId="4" borderId="0" xfId="0" applyFill="1"/>
    <xf numFmtId="4" fontId="14" fillId="4" borderId="0" xfId="0" applyNumberFormat="1" applyFont="1" applyFill="1"/>
    <xf numFmtId="49" fontId="12" fillId="4" borderId="0" xfId="0" applyNumberFormat="1" applyFont="1" applyFill="1" applyAlignment="1">
      <alignment horizontal="center" vertical="center"/>
    </xf>
    <xf numFmtId="4" fontId="12" fillId="4" borderId="0" xfId="0" applyNumberFormat="1" applyFont="1" applyFill="1"/>
    <xf numFmtId="0" fontId="12" fillId="4" borderId="0" xfId="0" applyFont="1" applyFill="1"/>
    <xf numFmtId="4" fontId="15" fillId="4" borderId="0" xfId="0" applyNumberFormat="1" applyFont="1" applyFill="1"/>
    <xf numFmtId="4" fontId="13" fillId="4" borderId="0" xfId="0" applyNumberFormat="1" applyFont="1" applyFill="1"/>
    <xf numFmtId="4" fontId="1" fillId="0" borderId="0" xfId="0" applyNumberFormat="1" applyFont="1" applyFill="1"/>
    <xf numFmtId="0" fontId="6" fillId="0" borderId="4" xfId="0" applyNumberFormat="1" applyFont="1" applyFill="1" applyBorder="1" applyAlignment="1" applyProtection="1">
      <alignment horizontal="center" vertical="center" wrapText="1"/>
    </xf>
    <xf numFmtId="0" fontId="7" fillId="0" borderId="2" xfId="0" applyFont="1" applyFill="1" applyBorder="1" applyAlignment="1" applyProtection="1">
      <alignment vertical="top" wrapText="1"/>
      <protection locked="0"/>
    </xf>
    <xf numFmtId="0" fontId="3" fillId="0" borderId="11" xfId="1" applyNumberFormat="1" applyFont="1" applyFill="1" applyBorder="1" applyAlignment="1">
      <alignment horizontal="center" vertical="top" wrapText="1"/>
    </xf>
    <xf numFmtId="0" fontId="6" fillId="0" borderId="4" xfId="0" applyNumberFormat="1" applyFont="1" applyFill="1" applyBorder="1" applyAlignment="1" applyProtection="1">
      <alignment horizontal="center" vertical="top" wrapText="1" shrinkToFit="1"/>
      <protection locked="0"/>
    </xf>
    <xf numFmtId="0" fontId="6" fillId="0" borderId="35" xfId="0" applyNumberFormat="1" applyFont="1" applyFill="1" applyBorder="1" applyAlignment="1" applyProtection="1">
      <alignment horizontal="center" vertical="top" wrapText="1"/>
    </xf>
    <xf numFmtId="164" fontId="7" fillId="0" borderId="15" xfId="0" applyNumberFormat="1" applyFont="1" applyFill="1" applyBorder="1" applyAlignment="1" applyProtection="1">
      <alignment vertical="top" wrapText="1" readingOrder="1"/>
      <protection locked="0"/>
    </xf>
    <xf numFmtId="0" fontId="4" fillId="0" borderId="8" xfId="0" applyNumberFormat="1" applyFont="1" applyFill="1" applyBorder="1" applyAlignment="1" applyProtection="1">
      <alignment horizontal="center" vertical="top" wrapText="1" shrinkToFit="1"/>
      <protection locked="0"/>
    </xf>
    <xf numFmtId="0" fontId="6" fillId="0" borderId="2" xfId="0" applyNumberFormat="1" applyFont="1" applyFill="1" applyBorder="1" applyAlignment="1" applyProtection="1">
      <alignment vertical="center" wrapText="1" readingOrder="1"/>
    </xf>
    <xf numFmtId="0" fontId="6" fillId="0" borderId="2" xfId="0" applyNumberFormat="1" applyFont="1" applyFill="1" applyBorder="1" applyAlignment="1" applyProtection="1">
      <alignment vertical="center" wrapText="1"/>
    </xf>
    <xf numFmtId="0" fontId="6" fillId="0" borderId="2" xfId="0" applyNumberFormat="1" applyFont="1" applyFill="1" applyBorder="1" applyAlignment="1" applyProtection="1">
      <alignment horizontal="center" vertical="top" wrapText="1" readingOrder="1"/>
    </xf>
    <xf numFmtId="0" fontId="4" fillId="0" borderId="5" xfId="0" applyFont="1" applyFill="1" applyBorder="1" applyAlignment="1">
      <alignment horizontal="center" vertical="top" wrapText="1"/>
    </xf>
    <xf numFmtId="0" fontId="4" fillId="0" borderId="6" xfId="0" applyNumberFormat="1" applyFont="1" applyFill="1" applyBorder="1" applyAlignment="1" applyProtection="1">
      <alignment vertical="top" wrapText="1" shrinkToFit="1"/>
      <protection locked="0"/>
    </xf>
    <xf numFmtId="0" fontId="4" fillId="0" borderId="18" xfId="0" applyNumberFormat="1" applyFont="1" applyFill="1" applyBorder="1" applyAlignment="1" applyProtection="1">
      <alignment vertical="top" wrapText="1" shrinkToFit="1"/>
      <protection locked="0"/>
    </xf>
    <xf numFmtId="49" fontId="12" fillId="2" borderId="27" xfId="0" applyNumberFormat="1" applyFont="1" applyFill="1" applyBorder="1" applyAlignment="1">
      <alignment horizontal="center" vertical="center"/>
    </xf>
    <xf numFmtId="0" fontId="10" fillId="0" borderId="11" xfId="0" applyNumberFormat="1" applyFont="1" applyFill="1" applyBorder="1" applyAlignment="1" applyProtection="1">
      <alignment horizontal="center" vertical="top" wrapText="1"/>
    </xf>
    <xf numFmtId="49" fontId="4" fillId="0" borderId="11" xfId="0" applyNumberFormat="1" applyFont="1" applyFill="1" applyBorder="1" applyAlignment="1" applyProtection="1">
      <alignment horizontal="center" vertical="center" wrapText="1" readingOrder="1"/>
      <protection locked="0"/>
    </xf>
    <xf numFmtId="49" fontId="4" fillId="0" borderId="3" xfId="0" applyNumberFormat="1" applyFont="1" applyFill="1" applyBorder="1" applyAlignment="1" applyProtection="1">
      <alignment horizontal="center" vertical="center" wrapText="1" readingOrder="1"/>
      <protection locked="0"/>
    </xf>
    <xf numFmtId="166" fontId="4" fillId="0" borderId="53" xfId="0" applyNumberFormat="1" applyFont="1" applyFill="1" applyBorder="1" applyAlignment="1" applyProtection="1">
      <alignment vertical="top" wrapText="1" readingOrder="1"/>
      <protection locked="0"/>
    </xf>
    <xf numFmtId="166" fontId="4" fillId="0" borderId="48" xfId="0" applyNumberFormat="1" applyFont="1" applyFill="1" applyBorder="1" applyAlignment="1" applyProtection="1">
      <alignment vertical="top" wrapText="1" readingOrder="1"/>
      <protection locked="0"/>
    </xf>
    <xf numFmtId="0" fontId="7" fillId="0" borderId="7" xfId="0" applyFont="1" applyFill="1" applyBorder="1" applyAlignment="1" applyProtection="1">
      <alignment vertical="top" wrapText="1"/>
      <protection locked="0"/>
    </xf>
    <xf numFmtId="0" fontId="7" fillId="0" borderId="7" xfId="0" applyFont="1" applyFill="1" applyBorder="1" applyAlignment="1" applyProtection="1">
      <alignment horizontal="center" vertical="top" wrapText="1"/>
      <protection locked="0"/>
    </xf>
    <xf numFmtId="0" fontId="4" fillId="0" borderId="18" xfId="0" applyFont="1" applyFill="1" applyBorder="1" applyAlignment="1" applyProtection="1">
      <alignment horizontal="center" vertical="top" wrapText="1" readingOrder="1"/>
      <protection locked="0"/>
    </xf>
    <xf numFmtId="0" fontId="4" fillId="0" borderId="39" xfId="0" applyNumberFormat="1" applyFont="1" applyFill="1" applyBorder="1" applyAlignment="1" applyProtection="1">
      <alignment horizontal="center" vertical="top" wrapText="1" shrinkToFit="1"/>
      <protection locked="0"/>
    </xf>
    <xf numFmtId="4" fontId="13" fillId="2" borderId="0" xfId="0" applyNumberFormat="1" applyFont="1" applyFill="1"/>
    <xf numFmtId="166" fontId="14" fillId="2" borderId="0" xfId="0" applyNumberFormat="1" applyFont="1" applyFill="1"/>
    <xf numFmtId="49" fontId="0" fillId="2" borderId="0" xfId="0" applyNumberFormat="1" applyFill="1"/>
    <xf numFmtId="168" fontId="12" fillId="2" borderId="5" xfId="0" applyNumberFormat="1" applyFont="1" applyFill="1" applyBorder="1"/>
    <xf numFmtId="14" fontId="3" fillId="0" borderId="40" xfId="0" applyNumberFormat="1" applyFont="1" applyFill="1" applyBorder="1" applyAlignment="1" applyProtection="1">
      <alignment horizontal="center" vertical="top" wrapText="1" shrinkToFit="1"/>
      <protection locked="0"/>
    </xf>
    <xf numFmtId="0" fontId="3" fillId="0" borderId="39" xfId="0" applyNumberFormat="1" applyFont="1" applyFill="1" applyBorder="1" applyAlignment="1" applyProtection="1">
      <alignment horizontal="center" vertical="top" wrapText="1" shrinkToFit="1"/>
      <protection locked="0"/>
    </xf>
    <xf numFmtId="0" fontId="4" fillId="0" borderId="56" xfId="0" applyFont="1" applyFill="1" applyBorder="1" applyAlignment="1" applyProtection="1">
      <alignment horizontal="center" vertical="top" wrapText="1" readingOrder="1"/>
      <protection locked="0"/>
    </xf>
    <xf numFmtId="0" fontId="4" fillId="0" borderId="6" xfId="0" applyNumberFormat="1" applyFont="1" applyFill="1" applyBorder="1" applyAlignment="1" applyProtection="1">
      <alignment horizontal="center" vertical="top" wrapText="1" shrinkToFit="1"/>
      <protection locked="0"/>
    </xf>
    <xf numFmtId="0" fontId="4" fillId="0" borderId="4" xfId="0" applyNumberFormat="1" applyFont="1" applyFill="1" applyBorder="1" applyAlignment="1" applyProtection="1">
      <alignment horizontal="center" vertical="top" wrapText="1" shrinkToFit="1"/>
      <protection locked="0"/>
    </xf>
    <xf numFmtId="0" fontId="3" fillId="0" borderId="6" xfId="0" applyNumberFormat="1" applyFont="1" applyFill="1" applyBorder="1" applyAlignment="1" applyProtection="1">
      <alignment horizontal="center" vertical="top" wrapText="1" shrinkToFit="1"/>
      <protection locked="0"/>
    </xf>
    <xf numFmtId="0" fontId="3" fillId="0" borderId="4" xfId="0" applyNumberFormat="1" applyFont="1" applyFill="1" applyBorder="1" applyAlignment="1" applyProtection="1">
      <alignment horizontal="center" vertical="top" wrapText="1" shrinkToFit="1"/>
      <protection locked="0"/>
    </xf>
    <xf numFmtId="0" fontId="4" fillId="0" borderId="2" xfId="0" applyFont="1" applyFill="1" applyBorder="1" applyAlignment="1" applyProtection="1">
      <alignment horizontal="left" vertical="top" wrapText="1" readingOrder="1"/>
      <protection locked="0"/>
    </xf>
    <xf numFmtId="0" fontId="4" fillId="0" borderId="1" xfId="0" applyFont="1" applyFill="1" applyBorder="1" applyAlignment="1" applyProtection="1">
      <alignment horizontal="left" vertical="top" wrapText="1" readingOrder="1"/>
      <protection locked="0"/>
    </xf>
    <xf numFmtId="0" fontId="4" fillId="0" borderId="11" xfId="0" applyNumberFormat="1" applyFont="1" applyFill="1" applyBorder="1" applyAlignment="1" applyProtection="1">
      <alignment horizontal="center" vertical="center" wrapText="1" shrinkToFit="1"/>
      <protection locked="0"/>
    </xf>
    <xf numFmtId="0" fontId="4" fillId="0" borderId="11" xfId="0" applyFont="1" applyFill="1" applyBorder="1" applyAlignment="1" applyProtection="1">
      <alignment horizontal="center" vertical="top" wrapText="1" readingOrder="1"/>
      <protection locked="0"/>
    </xf>
    <xf numFmtId="0" fontId="4" fillId="0" borderId="7" xfId="0" applyFont="1" applyFill="1" applyBorder="1" applyAlignment="1" applyProtection="1">
      <alignment horizontal="center" vertical="top" wrapText="1" readingOrder="1"/>
      <protection locked="0"/>
    </xf>
    <xf numFmtId="0" fontId="4" fillId="0" borderId="1" xfId="0" applyNumberFormat="1" applyFont="1" applyFill="1" applyBorder="1" applyAlignment="1" applyProtection="1">
      <alignment horizontal="center" vertical="top" wrapText="1" shrinkToFit="1"/>
      <protection locked="0"/>
    </xf>
    <xf numFmtId="14" fontId="4" fillId="0" borderId="1" xfId="0" applyNumberFormat="1" applyFont="1" applyFill="1" applyBorder="1" applyAlignment="1" applyProtection="1">
      <alignment horizontal="center" vertical="top" wrapText="1" shrinkToFit="1"/>
      <protection locked="0"/>
    </xf>
    <xf numFmtId="0" fontId="7" fillId="0" borderId="11" xfId="0" applyFont="1" applyFill="1" applyBorder="1" applyAlignment="1" applyProtection="1">
      <alignment horizontal="left" vertical="top" wrapText="1" readingOrder="1"/>
      <protection locked="0"/>
    </xf>
    <xf numFmtId="0" fontId="3" fillId="0" borderId="1" xfId="0" applyNumberFormat="1" applyFont="1" applyFill="1" applyBorder="1" applyAlignment="1" applyProtection="1">
      <alignment horizontal="center" vertical="top" wrapText="1" shrinkToFit="1"/>
      <protection locked="0"/>
    </xf>
    <xf numFmtId="0" fontId="3" fillId="0" borderId="2" xfId="0" applyNumberFormat="1" applyFont="1" applyFill="1" applyBorder="1" applyAlignment="1" applyProtection="1">
      <alignment horizontal="center" vertical="top" wrapText="1" shrinkToFit="1"/>
      <protection locked="0"/>
    </xf>
    <xf numFmtId="14" fontId="3" fillId="0" borderId="6" xfId="0" applyNumberFormat="1" applyFont="1" applyFill="1" applyBorder="1" applyAlignment="1" applyProtection="1">
      <alignment horizontal="center" vertical="top" wrapText="1" shrinkToFit="1"/>
      <protection locked="0"/>
    </xf>
    <xf numFmtId="14" fontId="3" fillId="0" borderId="1" xfId="0" applyNumberFormat="1" applyFont="1" applyFill="1" applyBorder="1" applyAlignment="1" applyProtection="1">
      <alignment horizontal="center" vertical="top" wrapText="1" shrinkToFit="1"/>
      <protection locked="0"/>
    </xf>
    <xf numFmtId="0" fontId="7" fillId="0" borderId="2" xfId="0" applyFont="1" applyFill="1" applyBorder="1" applyAlignment="1" applyProtection="1">
      <alignment horizontal="left" vertical="top" wrapText="1" readingOrder="1"/>
      <protection locked="0"/>
    </xf>
    <xf numFmtId="49" fontId="7" fillId="0" borderId="11" xfId="0" applyNumberFormat="1" applyFont="1" applyFill="1" applyBorder="1" applyAlignment="1" applyProtection="1">
      <alignment horizontal="center" vertical="top" wrapText="1" readingOrder="1"/>
      <protection locked="0"/>
    </xf>
    <xf numFmtId="49" fontId="7" fillId="0" borderId="7" xfId="0" applyNumberFormat="1" applyFont="1" applyFill="1" applyBorder="1" applyAlignment="1" applyProtection="1">
      <alignment horizontal="center" vertical="top" wrapText="1" readingOrder="1"/>
      <protection locked="0"/>
    </xf>
    <xf numFmtId="0" fontId="4" fillId="0" borderId="2" xfId="0" applyFont="1" applyFill="1" applyBorder="1" applyAlignment="1" applyProtection="1">
      <alignment horizontal="center" vertical="top" wrapText="1" readingOrder="1"/>
      <protection locked="0"/>
    </xf>
    <xf numFmtId="0" fontId="20" fillId="0" borderId="1" xfId="0" applyFont="1" applyFill="1" applyBorder="1" applyAlignment="1" applyProtection="1">
      <alignment horizontal="center" vertical="top" wrapText="1" readingOrder="1"/>
      <protection locked="0"/>
    </xf>
    <xf numFmtId="0" fontId="6" fillId="0" borderId="11"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4" fillId="0" borderId="5" xfId="0" applyNumberFormat="1" applyFont="1" applyFill="1" applyBorder="1" applyAlignment="1" applyProtection="1">
      <alignment horizontal="center" vertical="top" wrapText="1" shrinkToFit="1"/>
      <protection locked="0"/>
    </xf>
    <xf numFmtId="0" fontId="4" fillId="0" borderId="1" xfId="0" applyFont="1" applyFill="1" applyBorder="1" applyAlignment="1" applyProtection="1">
      <alignment horizontal="center" vertical="top" wrapText="1" readingOrder="1"/>
      <protection locked="0"/>
    </xf>
    <xf numFmtId="0" fontId="3" fillId="0" borderId="45" xfId="0" applyNumberFormat="1" applyFont="1" applyFill="1" applyBorder="1" applyAlignment="1" applyProtection="1">
      <alignment horizontal="center" vertical="top" wrapText="1" shrinkToFit="1"/>
      <protection locked="0"/>
    </xf>
    <xf numFmtId="0" fontId="3" fillId="0" borderId="10" xfId="0" applyNumberFormat="1" applyFont="1" applyFill="1" applyBorder="1" applyAlignment="1" applyProtection="1">
      <alignment horizontal="center" vertical="top" wrapText="1" shrinkToFit="1"/>
      <protection locked="0"/>
    </xf>
    <xf numFmtId="0" fontId="7" fillId="0" borderId="11" xfId="0" applyFont="1" applyFill="1" applyBorder="1" applyAlignment="1" applyProtection="1">
      <alignment horizontal="center" vertical="top" wrapText="1" readingOrder="1"/>
      <protection locked="0"/>
    </xf>
    <xf numFmtId="0" fontId="7" fillId="0" borderId="2" xfId="0" applyFont="1" applyFill="1" applyBorder="1" applyAlignment="1" applyProtection="1">
      <alignment horizontal="center" vertical="top" wrapText="1" readingOrder="1"/>
      <protection locked="0"/>
    </xf>
    <xf numFmtId="0" fontId="7" fillId="0" borderId="6" xfId="0" applyFont="1" applyFill="1" applyBorder="1" applyAlignment="1" applyProtection="1">
      <alignment horizontal="left" vertical="top" wrapText="1" readingOrder="1"/>
      <protection locked="0"/>
    </xf>
    <xf numFmtId="0" fontId="4" fillId="0" borderId="11" xfId="0" applyFont="1" applyFill="1" applyBorder="1" applyAlignment="1" applyProtection="1">
      <alignment horizontal="left" vertical="top" wrapText="1" readingOrder="1"/>
      <protection locked="0"/>
    </xf>
    <xf numFmtId="0" fontId="4" fillId="0" borderId="7" xfId="0" applyFont="1" applyFill="1" applyBorder="1" applyAlignment="1" applyProtection="1">
      <alignment horizontal="left" vertical="top" wrapText="1" readingOrder="1"/>
      <protection locked="0"/>
    </xf>
    <xf numFmtId="0" fontId="3" fillId="0" borderId="5" xfId="0" applyNumberFormat="1" applyFont="1" applyFill="1" applyBorder="1" applyAlignment="1" applyProtection="1">
      <alignment horizontal="center" vertical="top" wrapText="1" shrinkToFit="1"/>
      <protection locked="0"/>
    </xf>
    <xf numFmtId="0" fontId="7" fillId="0" borderId="7" xfId="0" applyFont="1" applyFill="1" applyBorder="1" applyAlignment="1" applyProtection="1">
      <alignment horizontal="center" vertical="top" wrapText="1" readingOrder="1"/>
      <protection locked="0"/>
    </xf>
    <xf numFmtId="0" fontId="6" fillId="0" borderId="2" xfId="0" applyNumberFormat="1" applyFont="1" applyFill="1" applyBorder="1" applyAlignment="1" applyProtection="1">
      <alignment horizontal="center" vertical="top" wrapText="1"/>
    </xf>
    <xf numFmtId="0" fontId="3" fillId="0" borderId="2" xfId="0" applyNumberFormat="1" applyFont="1" applyFill="1" applyBorder="1" applyAlignment="1" applyProtection="1">
      <alignment horizontal="center" vertical="center" wrapText="1" shrinkToFit="1"/>
      <protection locked="0"/>
    </xf>
    <xf numFmtId="0" fontId="3" fillId="0" borderId="16" xfId="0" applyNumberFormat="1" applyFont="1" applyFill="1" applyBorder="1" applyAlignment="1" applyProtection="1">
      <alignment horizontal="center" vertical="top" wrapText="1" shrinkToFit="1"/>
      <protection locked="0"/>
    </xf>
    <xf numFmtId="0" fontId="3" fillId="0" borderId="11" xfId="0" applyNumberFormat="1" applyFont="1" applyFill="1" applyBorder="1" applyAlignment="1" applyProtection="1">
      <alignment horizontal="center" vertical="top" wrapText="1" shrinkToFit="1"/>
      <protection locked="0"/>
    </xf>
    <xf numFmtId="0" fontId="3" fillId="0" borderId="7" xfId="0" applyNumberFormat="1" applyFont="1" applyFill="1" applyBorder="1" applyAlignment="1" applyProtection="1">
      <alignment horizontal="center" vertical="top" wrapText="1" shrinkToFit="1"/>
      <protection locked="0"/>
    </xf>
    <xf numFmtId="0" fontId="4" fillId="0" borderId="5" xfId="0" applyFont="1" applyFill="1" applyBorder="1" applyAlignment="1" applyProtection="1">
      <alignment horizontal="left" vertical="top" wrapText="1" readingOrder="1"/>
      <protection locked="0"/>
    </xf>
    <xf numFmtId="49" fontId="4" fillId="0" borderId="29" xfId="0" applyNumberFormat="1" applyFont="1" applyFill="1" applyBorder="1" applyAlignment="1" applyProtection="1">
      <alignment horizontal="center" vertical="top" wrapText="1" readingOrder="1"/>
      <protection locked="0"/>
    </xf>
    <xf numFmtId="0" fontId="4" fillId="0" borderId="4" xfId="0" applyFont="1" applyFill="1" applyBorder="1" applyAlignment="1" applyProtection="1">
      <alignment horizontal="left" vertical="top" wrapText="1" readingOrder="1"/>
      <protection locked="0"/>
    </xf>
    <xf numFmtId="0" fontId="4" fillId="0" borderId="2" xfId="0" applyFont="1" applyFill="1" applyBorder="1" applyAlignment="1" applyProtection="1">
      <alignment horizontal="center" vertical="center" wrapText="1" readingOrder="1"/>
      <protection locked="0"/>
    </xf>
    <xf numFmtId="0" fontId="4" fillId="0" borderId="7" xfId="0" applyFont="1" applyFill="1" applyBorder="1" applyAlignment="1" applyProtection="1">
      <alignment horizontal="center" vertical="center" wrapText="1" readingOrder="1"/>
      <protection locked="0"/>
    </xf>
    <xf numFmtId="0" fontId="7" fillId="0" borderId="6" xfId="0" applyFont="1" applyFill="1" applyBorder="1" applyAlignment="1" applyProtection="1">
      <alignment horizontal="center" vertical="top" wrapText="1" readingOrder="1"/>
      <protection locked="0"/>
    </xf>
    <xf numFmtId="0" fontId="7" fillId="0" borderId="1" xfId="0" applyFont="1" applyFill="1" applyBorder="1" applyAlignment="1" applyProtection="1">
      <alignment horizontal="center" vertical="top" wrapText="1" readingOrder="1"/>
      <protection locked="0"/>
    </xf>
    <xf numFmtId="0" fontId="6" fillId="0" borderId="14" xfId="0" applyNumberFormat="1" applyFont="1" applyFill="1" applyBorder="1" applyAlignment="1" applyProtection="1">
      <alignment horizontal="center" vertical="top" wrapText="1" shrinkToFit="1"/>
      <protection locked="0"/>
    </xf>
    <xf numFmtId="0" fontId="6" fillId="0" borderId="1" xfId="0" applyNumberFormat="1" applyFont="1" applyFill="1" applyBorder="1" applyAlignment="1" applyProtection="1">
      <alignment horizontal="center" vertical="top" wrapText="1" shrinkToFit="1"/>
      <protection locked="0"/>
    </xf>
    <xf numFmtId="0" fontId="4" fillId="0" borderId="3" xfId="0" applyFont="1" applyFill="1" applyBorder="1" applyAlignment="1" applyProtection="1">
      <alignment horizontal="center" vertical="top" wrapText="1" readingOrder="1"/>
      <protection locked="0"/>
    </xf>
    <xf numFmtId="0" fontId="4" fillId="0" borderId="6" xfId="0" applyFont="1" applyFill="1" applyBorder="1" applyAlignment="1" applyProtection="1">
      <alignment horizontal="left" vertical="top" wrapText="1" readingOrder="1"/>
      <protection locked="0"/>
    </xf>
    <xf numFmtId="0" fontId="6" fillId="0" borderId="5" xfId="0" applyNumberFormat="1" applyFont="1" applyFill="1" applyBorder="1" applyAlignment="1" applyProtection="1">
      <alignment horizontal="center" vertical="top" wrapText="1"/>
    </xf>
    <xf numFmtId="0" fontId="4" fillId="0" borderId="5" xfId="0" applyFont="1" applyFill="1" applyBorder="1" applyAlignment="1" applyProtection="1">
      <alignment horizontal="center" vertical="top" wrapText="1" readingOrder="1"/>
      <protection locked="0"/>
    </xf>
    <xf numFmtId="0" fontId="3" fillId="0" borderId="14" xfId="0" applyNumberFormat="1" applyFont="1" applyFill="1" applyBorder="1" applyAlignment="1" applyProtection="1">
      <alignment horizontal="center" vertical="top" wrapText="1" shrinkToFit="1"/>
      <protection locked="0"/>
    </xf>
    <xf numFmtId="0" fontId="7" fillId="0" borderId="5" xfId="0" applyFont="1" applyFill="1" applyBorder="1" applyAlignment="1" applyProtection="1">
      <alignment horizontal="center" vertical="top" wrapText="1" readingOrder="1"/>
      <protection locked="0"/>
    </xf>
    <xf numFmtId="49" fontId="7" fillId="0" borderId="2" xfId="0" applyNumberFormat="1" applyFont="1" applyFill="1" applyBorder="1" applyAlignment="1" applyProtection="1">
      <alignment horizontal="center" vertical="top" wrapText="1" readingOrder="1"/>
      <protection locked="0"/>
    </xf>
    <xf numFmtId="0" fontId="7" fillId="0" borderId="37" xfId="0" applyFont="1" applyFill="1" applyBorder="1" applyAlignment="1" applyProtection="1">
      <alignment horizontal="center" vertical="top" wrapText="1" readingOrder="1"/>
      <protection locked="0"/>
    </xf>
    <xf numFmtId="14" fontId="4" fillId="0" borderId="5" xfId="0" applyNumberFormat="1" applyFont="1" applyFill="1" applyBorder="1" applyAlignment="1" applyProtection="1">
      <alignment horizontal="center" vertical="top" wrapText="1" shrinkToFit="1"/>
      <protection locked="0"/>
    </xf>
    <xf numFmtId="0" fontId="4" fillId="0" borderId="6" xfId="0" applyFont="1" applyFill="1" applyBorder="1" applyAlignment="1" applyProtection="1">
      <alignment horizontal="center" vertical="top" wrapText="1" readingOrder="1"/>
      <protection locked="0"/>
    </xf>
    <xf numFmtId="0" fontId="3" fillId="0" borderId="6" xfId="0" applyNumberFormat="1" applyFont="1" applyFill="1" applyBorder="1" applyAlignment="1" applyProtection="1">
      <alignment horizontal="center" vertical="center" wrapText="1" shrinkToFit="1"/>
      <protection locked="0"/>
    </xf>
    <xf numFmtId="0" fontId="3" fillId="0" borderId="1" xfId="0" applyNumberFormat="1" applyFont="1" applyFill="1" applyBorder="1" applyAlignment="1" applyProtection="1">
      <alignment horizontal="center" vertical="center" wrapText="1" shrinkToFit="1"/>
      <protection locked="0"/>
    </xf>
    <xf numFmtId="0" fontId="3" fillId="0" borderId="4" xfId="0" applyNumberFormat="1" applyFont="1" applyFill="1" applyBorder="1" applyAlignment="1" applyProtection="1">
      <alignment horizontal="center" vertical="center" wrapText="1" shrinkToFit="1"/>
      <protection locked="0"/>
    </xf>
    <xf numFmtId="0" fontId="4" fillId="0" borderId="4" xfId="0" applyFont="1" applyFill="1" applyBorder="1" applyAlignment="1" applyProtection="1">
      <alignment horizontal="center" vertical="top" wrapText="1" readingOrder="1"/>
      <protection locked="0"/>
    </xf>
    <xf numFmtId="0" fontId="3" fillId="0" borderId="18" xfId="0" applyNumberFormat="1" applyFont="1" applyFill="1" applyBorder="1" applyAlignment="1" applyProtection="1">
      <alignment horizontal="center" vertical="top" wrapText="1" shrinkToFit="1"/>
      <protection locked="0"/>
    </xf>
    <xf numFmtId="14" fontId="3" fillId="0" borderId="2" xfId="0" applyNumberFormat="1" applyFont="1" applyFill="1" applyBorder="1" applyAlignment="1" applyProtection="1">
      <alignment horizontal="center" vertical="top" wrapText="1" shrinkToFit="1"/>
      <protection locked="0"/>
    </xf>
    <xf numFmtId="14" fontId="4" fillId="0" borderId="6" xfId="0" applyNumberFormat="1" applyFont="1" applyFill="1" applyBorder="1" applyAlignment="1" applyProtection="1">
      <alignment horizontal="center" vertical="top" wrapText="1" shrinkToFit="1"/>
      <protection locked="0"/>
    </xf>
    <xf numFmtId="14" fontId="4" fillId="0" borderId="4" xfId="0" applyNumberFormat="1" applyFont="1" applyFill="1" applyBorder="1" applyAlignment="1" applyProtection="1">
      <alignment horizontal="center" vertical="top" wrapText="1" shrinkToFit="1"/>
      <protection locked="0"/>
    </xf>
    <xf numFmtId="0" fontId="4" fillId="0" borderId="20" xfId="0" applyFont="1" applyFill="1" applyBorder="1" applyAlignment="1" applyProtection="1">
      <alignment horizontal="center" vertical="top" wrapText="1" readingOrder="1"/>
      <protection locked="0"/>
    </xf>
    <xf numFmtId="0" fontId="4" fillId="0" borderId="16" xfId="0" applyFont="1" applyFill="1" applyBorder="1" applyAlignment="1" applyProtection="1">
      <alignment horizontal="center" vertical="top" wrapText="1" readingOrder="1"/>
      <protection locked="0"/>
    </xf>
    <xf numFmtId="49" fontId="4" fillId="0" borderId="11" xfId="0" applyNumberFormat="1" applyFont="1" applyFill="1" applyBorder="1" applyAlignment="1" applyProtection="1">
      <alignment horizontal="center" vertical="top" wrapText="1" readingOrder="1"/>
      <protection locked="0"/>
    </xf>
    <xf numFmtId="49" fontId="4" fillId="0" borderId="2" xfId="0" applyNumberFormat="1" applyFont="1" applyFill="1" applyBorder="1" applyAlignment="1" applyProtection="1">
      <alignment horizontal="center" vertical="top" wrapText="1" readingOrder="1"/>
      <protection locked="0"/>
    </xf>
    <xf numFmtId="0" fontId="6" fillId="0" borderId="10" xfId="0" applyNumberFormat="1" applyFont="1" applyFill="1" applyBorder="1" applyAlignment="1" applyProtection="1">
      <alignment horizontal="center" vertical="top" wrapText="1"/>
    </xf>
    <xf numFmtId="0" fontId="7" fillId="0" borderId="20" xfId="0" applyFont="1" applyFill="1" applyBorder="1" applyAlignment="1" applyProtection="1">
      <alignment horizontal="center" vertical="top" wrapText="1" readingOrder="1"/>
      <protection locked="0"/>
    </xf>
    <xf numFmtId="0" fontId="7" fillId="0" borderId="16" xfId="0" applyFont="1" applyFill="1" applyBorder="1" applyAlignment="1" applyProtection="1">
      <alignment horizontal="center" vertical="top" wrapText="1" readingOrder="1"/>
      <protection locked="0"/>
    </xf>
    <xf numFmtId="0" fontId="3" fillId="0" borderId="9" xfId="0" applyNumberFormat="1" applyFont="1" applyFill="1" applyBorder="1" applyAlignment="1" applyProtection="1">
      <alignment horizontal="center" vertical="top" wrapText="1" shrinkToFit="1"/>
      <protection locked="0"/>
    </xf>
    <xf numFmtId="0" fontId="3" fillId="0" borderId="12" xfId="0" applyNumberFormat="1" applyFont="1" applyFill="1" applyBorder="1" applyAlignment="1" applyProtection="1">
      <alignment horizontal="center" vertical="top" wrapText="1" shrinkToFit="1"/>
      <protection locked="0"/>
    </xf>
    <xf numFmtId="0" fontId="3" fillId="0" borderId="34" xfId="0" applyNumberFormat="1" applyFont="1" applyFill="1" applyBorder="1" applyAlignment="1" applyProtection="1">
      <alignment horizontal="center" vertical="top" wrapText="1" shrinkToFit="1"/>
      <protection locked="0"/>
    </xf>
    <xf numFmtId="14" fontId="3" fillId="0" borderId="11" xfId="0" applyNumberFormat="1" applyFont="1" applyFill="1" applyBorder="1" applyAlignment="1" applyProtection="1">
      <alignment horizontal="center" vertical="top" wrapText="1" shrinkToFit="1"/>
      <protection locked="0"/>
    </xf>
    <xf numFmtId="14" fontId="3" fillId="0" borderId="7" xfId="0" applyNumberFormat="1" applyFont="1" applyFill="1" applyBorder="1" applyAlignment="1" applyProtection="1">
      <alignment horizontal="center" vertical="top" wrapText="1" shrinkToFit="1"/>
      <protection locked="0"/>
    </xf>
    <xf numFmtId="49" fontId="4" fillId="0" borderId="6" xfId="0" applyNumberFormat="1" applyFont="1" applyFill="1" applyBorder="1" applyAlignment="1" applyProtection="1">
      <alignment horizontal="center" vertical="top" wrapText="1" readingOrder="1"/>
      <protection locked="0"/>
    </xf>
    <xf numFmtId="49" fontId="4" fillId="0" borderId="1" xfId="0" applyNumberFormat="1" applyFont="1" applyFill="1" applyBorder="1" applyAlignment="1" applyProtection="1">
      <alignment horizontal="center" vertical="top" wrapText="1" readingOrder="1"/>
      <protection locked="0"/>
    </xf>
    <xf numFmtId="0" fontId="6" fillId="0" borderId="1"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top" wrapText="1" shrinkToFit="1"/>
      <protection locked="0"/>
    </xf>
    <xf numFmtId="0" fontId="4" fillId="0" borderId="7" xfId="0" applyNumberFormat="1" applyFont="1" applyFill="1" applyBorder="1" applyAlignment="1" applyProtection="1">
      <alignment horizontal="center" vertical="top" wrapText="1" shrinkToFit="1"/>
      <protection locked="0"/>
    </xf>
    <xf numFmtId="166" fontId="7" fillId="0" borderId="1" xfId="0" applyNumberFormat="1" applyFont="1" applyFill="1" applyBorder="1" applyAlignment="1" applyProtection="1">
      <alignment horizontal="right" vertical="top" wrapText="1" readingOrder="1"/>
      <protection locked="0"/>
    </xf>
    <xf numFmtId="0" fontId="4" fillId="0" borderId="38" xfId="0" applyNumberFormat="1" applyFont="1" applyFill="1" applyBorder="1" applyAlignment="1" applyProtection="1">
      <alignment horizontal="center" vertical="top" wrapText="1" shrinkToFit="1"/>
      <protection locked="0"/>
    </xf>
    <xf numFmtId="0" fontId="4" fillId="0" borderId="49" xfId="0" applyNumberFormat="1" applyFont="1" applyFill="1" applyBorder="1" applyAlignment="1" applyProtection="1">
      <alignment horizontal="center" vertical="top" wrapText="1" shrinkToFit="1"/>
      <protection locked="0"/>
    </xf>
    <xf numFmtId="0" fontId="6" fillId="0" borderId="11" xfId="0" applyNumberFormat="1" applyFont="1" applyFill="1" applyBorder="1" applyAlignment="1" applyProtection="1">
      <alignment horizontal="center" vertical="top" wrapText="1" shrinkToFit="1"/>
      <protection locked="0"/>
    </xf>
    <xf numFmtId="0" fontId="6" fillId="0" borderId="2" xfId="0" applyNumberFormat="1" applyFont="1" applyFill="1" applyBorder="1" applyAlignment="1" applyProtection="1">
      <alignment horizontal="center" vertical="top" wrapText="1" shrinkToFit="1"/>
      <protection locked="0"/>
    </xf>
    <xf numFmtId="0" fontId="6" fillId="0" borderId="7" xfId="0" applyNumberFormat="1" applyFont="1" applyFill="1" applyBorder="1" applyAlignment="1" applyProtection="1">
      <alignment horizontal="center" vertical="top" wrapText="1" shrinkToFit="1"/>
      <protection locked="0"/>
    </xf>
    <xf numFmtId="0" fontId="4" fillId="0" borderId="5" xfId="0" applyFont="1" applyFill="1" applyBorder="1" applyAlignment="1" applyProtection="1">
      <alignment horizontal="center" vertical="top" wrapText="1" readingOrder="1"/>
      <protection locked="0"/>
    </xf>
    <xf numFmtId="166" fontId="4" fillId="0" borderId="3" xfId="0" applyNumberFormat="1" applyFont="1" applyFill="1" applyBorder="1" applyAlignment="1" applyProtection="1">
      <alignment horizontal="right" vertical="center" wrapText="1" readingOrder="1"/>
      <protection locked="0"/>
    </xf>
    <xf numFmtId="166" fontId="4" fillId="0" borderId="38" xfId="0" applyNumberFormat="1" applyFont="1" applyFill="1" applyBorder="1" applyAlignment="1" applyProtection="1">
      <alignment horizontal="right" vertical="center" wrapText="1" readingOrder="1"/>
      <protection locked="0"/>
    </xf>
    <xf numFmtId="166" fontId="21" fillId="0" borderId="54" xfId="0" applyNumberFormat="1" applyFont="1" applyFill="1" applyBorder="1" applyAlignment="1" applyProtection="1">
      <alignment horizontal="right" vertical="center" wrapText="1"/>
    </xf>
    <xf numFmtId="166" fontId="4" fillId="0" borderId="34" xfId="0" applyNumberFormat="1" applyFont="1" applyFill="1" applyBorder="1" applyAlignment="1" applyProtection="1">
      <alignment vertical="top" wrapText="1" readingOrder="1"/>
      <protection locked="0"/>
    </xf>
    <xf numFmtId="0" fontId="4" fillId="0" borderId="3" xfId="0" applyFont="1" applyFill="1" applyBorder="1" applyAlignment="1" applyProtection="1">
      <alignment vertical="top" wrapText="1"/>
      <protection locked="0"/>
    </xf>
    <xf numFmtId="0" fontId="4" fillId="0" borderId="3" xfId="0" applyFont="1" applyFill="1" applyBorder="1" applyAlignment="1" applyProtection="1">
      <alignment horizontal="center" vertical="top" wrapText="1"/>
      <protection locked="0"/>
    </xf>
    <xf numFmtId="164" fontId="7" fillId="0" borderId="38" xfId="0" applyNumberFormat="1" applyFont="1" applyFill="1" applyBorder="1" applyAlignment="1" applyProtection="1">
      <alignment vertical="top" wrapText="1" readingOrder="1"/>
      <protection locked="0"/>
    </xf>
    <xf numFmtId="0" fontId="4" fillId="0" borderId="2" xfId="0" applyFont="1" applyFill="1" applyBorder="1" applyAlignment="1" applyProtection="1">
      <alignment horizontal="center" wrapText="1"/>
      <protection locked="0"/>
    </xf>
    <xf numFmtId="164" fontId="4" fillId="0" borderId="46" xfId="0" applyNumberFormat="1" applyFont="1" applyFill="1" applyBorder="1" applyAlignment="1" applyProtection="1">
      <alignment vertical="top" wrapText="1" readingOrder="1"/>
      <protection locked="0"/>
    </xf>
    <xf numFmtId="0" fontId="4" fillId="0" borderId="1" xfId="0" applyNumberFormat="1" applyFont="1" applyFill="1" applyBorder="1" applyAlignment="1" applyProtection="1">
      <alignment horizontal="center" vertical="top" wrapText="1" shrinkToFit="1"/>
      <protection locked="0"/>
    </xf>
    <xf numFmtId="0" fontId="4" fillId="0" borderId="1" xfId="0" applyFont="1" applyFill="1" applyBorder="1" applyAlignment="1" applyProtection="1">
      <alignment horizontal="center" vertical="top" wrapText="1" readingOrder="1"/>
      <protection locked="0"/>
    </xf>
    <xf numFmtId="0" fontId="4" fillId="0" borderId="6" xfId="0" applyNumberFormat="1" applyFont="1" applyFill="1" applyBorder="1" applyAlignment="1" applyProtection="1">
      <alignment horizontal="center" vertical="top" wrapText="1" shrinkToFit="1"/>
      <protection locked="0"/>
    </xf>
    <xf numFmtId="0" fontId="4" fillId="0" borderId="4" xfId="0" applyNumberFormat="1" applyFont="1" applyFill="1" applyBorder="1" applyAlignment="1" applyProtection="1">
      <alignment horizontal="center" vertical="top" wrapText="1" shrinkToFit="1"/>
      <protection locked="0"/>
    </xf>
    <xf numFmtId="0" fontId="3" fillId="0" borderId="6" xfId="0" applyNumberFormat="1" applyFont="1" applyFill="1" applyBorder="1" applyAlignment="1" applyProtection="1">
      <alignment horizontal="center" vertical="top" wrapText="1" shrinkToFit="1"/>
      <protection locked="0"/>
    </xf>
    <xf numFmtId="0" fontId="3" fillId="0" borderId="4" xfId="0" applyNumberFormat="1" applyFont="1" applyFill="1" applyBorder="1" applyAlignment="1" applyProtection="1">
      <alignment horizontal="center" vertical="top" wrapText="1" shrinkToFit="1"/>
      <protection locked="0"/>
    </xf>
    <xf numFmtId="0" fontId="4" fillId="0" borderId="2" xfId="0" applyFont="1" applyFill="1" applyBorder="1" applyAlignment="1" applyProtection="1">
      <alignment horizontal="left" vertical="top" wrapText="1" readingOrder="1"/>
      <protection locked="0"/>
    </xf>
    <xf numFmtId="0" fontId="4" fillId="0" borderId="1" xfId="0" applyFont="1" applyFill="1" applyBorder="1" applyAlignment="1" applyProtection="1">
      <alignment horizontal="left" vertical="top" wrapText="1" readingOrder="1"/>
      <protection locked="0"/>
    </xf>
    <xf numFmtId="0" fontId="4" fillId="0" borderId="11" xfId="0" applyNumberFormat="1" applyFont="1" applyFill="1" applyBorder="1" applyAlignment="1" applyProtection="1">
      <alignment horizontal="center" vertical="center" wrapText="1" shrinkToFit="1"/>
      <protection locked="0"/>
    </xf>
    <xf numFmtId="0" fontId="4" fillId="0" borderId="7" xfId="0" applyNumberFormat="1" applyFont="1" applyFill="1" applyBorder="1" applyAlignment="1" applyProtection="1">
      <alignment horizontal="center" vertical="center" wrapText="1" shrinkToFit="1"/>
      <protection locked="0"/>
    </xf>
    <xf numFmtId="0" fontId="4" fillId="0" borderId="11" xfId="0" applyFont="1" applyFill="1" applyBorder="1" applyAlignment="1" applyProtection="1">
      <alignment horizontal="center" vertical="top" wrapText="1" readingOrder="1"/>
      <protection locked="0"/>
    </xf>
    <xf numFmtId="0" fontId="4" fillId="0" borderId="7" xfId="0" applyFont="1" applyFill="1" applyBorder="1" applyAlignment="1" applyProtection="1">
      <alignment horizontal="center" vertical="top" wrapText="1" readingOrder="1"/>
      <protection locked="0"/>
    </xf>
    <xf numFmtId="0" fontId="3" fillId="0" borderId="1" xfId="0" applyNumberFormat="1" applyFont="1" applyFill="1" applyBorder="1" applyAlignment="1" applyProtection="1">
      <alignment horizontal="center" vertical="top" wrapText="1" shrinkToFit="1"/>
      <protection locked="0"/>
    </xf>
    <xf numFmtId="0" fontId="3" fillId="0" borderId="2" xfId="0" applyNumberFormat="1" applyFont="1" applyFill="1" applyBorder="1" applyAlignment="1" applyProtection="1">
      <alignment horizontal="center" vertical="top" wrapText="1" shrinkToFit="1"/>
      <protection locked="0"/>
    </xf>
    <xf numFmtId="14" fontId="3" fillId="0" borderId="6" xfId="0" applyNumberFormat="1" applyFont="1" applyFill="1" applyBorder="1" applyAlignment="1" applyProtection="1">
      <alignment horizontal="center" vertical="top" wrapText="1" shrinkToFit="1"/>
      <protection locked="0"/>
    </xf>
    <xf numFmtId="14" fontId="3" fillId="0" borderId="1" xfId="0" applyNumberFormat="1" applyFont="1" applyFill="1" applyBorder="1" applyAlignment="1" applyProtection="1">
      <alignment horizontal="center" vertical="top" wrapText="1" shrinkToFit="1"/>
      <protection locked="0"/>
    </xf>
    <xf numFmtId="0" fontId="4" fillId="0" borderId="5" xfId="0" applyNumberFormat="1" applyFont="1" applyFill="1" applyBorder="1" applyAlignment="1" applyProtection="1">
      <alignment horizontal="center" vertical="top" wrapText="1" shrinkToFit="1"/>
      <protection locked="0"/>
    </xf>
    <xf numFmtId="0" fontId="4" fillId="0" borderId="26" xfId="0" applyFont="1" applyFill="1" applyBorder="1" applyAlignment="1" applyProtection="1">
      <alignment horizontal="left" vertical="top" wrapText="1" readingOrder="1"/>
      <protection locked="0"/>
    </xf>
    <xf numFmtId="0" fontId="4" fillId="0" borderId="9" xfId="0" applyFont="1" applyFill="1" applyBorder="1" applyAlignment="1" applyProtection="1">
      <alignment horizontal="left" vertical="top" wrapText="1" readingOrder="1"/>
      <protection locked="0"/>
    </xf>
    <xf numFmtId="0" fontId="3" fillId="0" borderId="5" xfId="0" applyNumberFormat="1" applyFont="1" applyFill="1" applyBorder="1" applyAlignment="1" applyProtection="1">
      <alignment horizontal="center" vertical="top" wrapText="1" shrinkToFit="1"/>
      <protection locked="0"/>
    </xf>
    <xf numFmtId="0" fontId="3" fillId="0" borderId="11" xfId="0" applyNumberFormat="1" applyFont="1" applyFill="1" applyBorder="1" applyAlignment="1" applyProtection="1">
      <alignment horizontal="center" vertical="top" wrapText="1" shrinkToFit="1"/>
      <protection locked="0"/>
    </xf>
    <xf numFmtId="0" fontId="3" fillId="0" borderId="7" xfId="0" applyNumberFormat="1" applyFont="1" applyFill="1" applyBorder="1" applyAlignment="1" applyProtection="1">
      <alignment horizontal="center" vertical="top" wrapText="1" shrinkToFit="1"/>
      <protection locked="0"/>
    </xf>
    <xf numFmtId="0" fontId="4" fillId="0" borderId="5" xfId="0" applyFont="1" applyFill="1" applyBorder="1" applyAlignment="1" applyProtection="1">
      <alignment horizontal="left" vertical="top" wrapText="1" readingOrder="1"/>
      <protection locked="0"/>
    </xf>
    <xf numFmtId="49" fontId="7" fillId="0" borderId="11" xfId="0" applyNumberFormat="1" applyFont="1" applyFill="1" applyBorder="1" applyAlignment="1" applyProtection="1">
      <alignment horizontal="center" vertical="top" wrapText="1" readingOrder="1"/>
      <protection locked="0"/>
    </xf>
    <xf numFmtId="49" fontId="7" fillId="0" borderId="7" xfId="0" applyNumberFormat="1" applyFont="1" applyFill="1" applyBorder="1" applyAlignment="1" applyProtection="1">
      <alignment horizontal="center" vertical="top" wrapText="1" readingOrder="1"/>
      <protection locked="0"/>
    </xf>
    <xf numFmtId="0" fontId="4" fillId="0" borderId="2" xfId="0" applyFont="1" applyFill="1" applyBorder="1" applyAlignment="1" applyProtection="1">
      <alignment horizontal="center" vertical="top" wrapText="1" readingOrder="1"/>
      <protection locked="0"/>
    </xf>
    <xf numFmtId="0" fontId="20" fillId="0" borderId="1" xfId="0" applyFont="1" applyFill="1" applyBorder="1" applyAlignment="1" applyProtection="1">
      <alignment horizontal="center" vertical="top" wrapText="1" readingOrder="1"/>
      <protection locked="0"/>
    </xf>
    <xf numFmtId="0" fontId="7" fillId="0" borderId="11" xfId="0" applyFont="1" applyFill="1" applyBorder="1" applyAlignment="1" applyProtection="1">
      <alignment horizontal="left" vertical="top" wrapText="1" readingOrder="1"/>
      <protection locked="0"/>
    </xf>
    <xf numFmtId="0" fontId="7" fillId="0" borderId="7" xfId="0" applyFont="1" applyFill="1" applyBorder="1" applyAlignment="1" applyProtection="1">
      <alignment horizontal="left" vertical="top" wrapText="1" readingOrder="1"/>
      <protection locked="0"/>
    </xf>
    <xf numFmtId="0" fontId="6" fillId="0" borderId="11"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3" fillId="0" borderId="2" xfId="0" applyNumberFormat="1" applyFont="1" applyFill="1" applyBorder="1" applyAlignment="1" applyProtection="1">
      <alignment horizontal="center" vertical="center" wrapText="1" shrinkToFit="1"/>
      <protection locked="0"/>
    </xf>
    <xf numFmtId="0" fontId="0" fillId="0" borderId="1" xfId="0" applyFill="1" applyBorder="1" applyAlignment="1">
      <alignment vertical="top"/>
    </xf>
    <xf numFmtId="0" fontId="7" fillId="0" borderId="11" xfId="0" applyFont="1" applyFill="1" applyBorder="1" applyAlignment="1" applyProtection="1">
      <alignment horizontal="center" vertical="top" wrapText="1" readingOrder="1"/>
      <protection locked="0"/>
    </xf>
    <xf numFmtId="0" fontId="7" fillId="0" borderId="2" xfId="0" applyFont="1" applyFill="1" applyBorder="1" applyAlignment="1" applyProtection="1">
      <alignment horizontal="center" vertical="top" wrapText="1" readingOrder="1"/>
      <protection locked="0"/>
    </xf>
    <xf numFmtId="0" fontId="7" fillId="0" borderId="7" xfId="0" applyFont="1" applyFill="1" applyBorder="1" applyAlignment="1" applyProtection="1">
      <alignment horizontal="center" vertical="top" wrapText="1" readingOrder="1"/>
      <protection locked="0"/>
    </xf>
    <xf numFmtId="0" fontId="4" fillId="0" borderId="7" xfId="0" applyFont="1" applyFill="1" applyBorder="1" applyAlignment="1" applyProtection="1">
      <alignment horizontal="left" vertical="top" wrapText="1" readingOrder="1"/>
      <protection locked="0"/>
    </xf>
    <xf numFmtId="0" fontId="4" fillId="0" borderId="11" xfId="0" applyFont="1" applyFill="1" applyBorder="1" applyAlignment="1" applyProtection="1">
      <alignment horizontal="left" vertical="top" wrapText="1" readingOrder="1"/>
      <protection locked="0"/>
    </xf>
    <xf numFmtId="0" fontId="6" fillId="0" borderId="2" xfId="0" applyNumberFormat="1" applyFont="1" applyFill="1" applyBorder="1" applyAlignment="1" applyProtection="1">
      <alignment horizontal="center" vertical="top" wrapText="1"/>
    </xf>
    <xf numFmtId="0" fontId="3" fillId="0" borderId="16" xfId="0" applyNumberFormat="1" applyFont="1" applyFill="1" applyBorder="1" applyAlignment="1" applyProtection="1">
      <alignment horizontal="center" vertical="top" wrapText="1" shrinkToFit="1"/>
      <protection locked="0"/>
    </xf>
    <xf numFmtId="0" fontId="3" fillId="0" borderId="28" xfId="0" applyNumberFormat="1" applyFont="1" applyFill="1" applyBorder="1" applyAlignment="1" applyProtection="1">
      <alignment horizontal="center" vertical="top" wrapText="1" shrinkToFit="1"/>
      <protection locked="0"/>
    </xf>
    <xf numFmtId="0" fontId="7" fillId="0" borderId="2" xfId="0" applyFont="1" applyFill="1" applyBorder="1" applyAlignment="1" applyProtection="1">
      <alignment horizontal="left" vertical="top" wrapText="1" readingOrder="1"/>
      <protection locked="0"/>
    </xf>
    <xf numFmtId="49" fontId="4" fillId="0" borderId="29" xfId="0" applyNumberFormat="1" applyFont="1" applyFill="1" applyBorder="1" applyAlignment="1" applyProtection="1">
      <alignment horizontal="center" vertical="top" wrapText="1" readingOrder="1"/>
      <protection locked="0"/>
    </xf>
    <xf numFmtId="49" fontId="4" fillId="0" borderId="55" xfId="0" applyNumberFormat="1" applyFont="1" applyFill="1" applyBorder="1" applyAlignment="1" applyProtection="1">
      <alignment horizontal="center" vertical="top" wrapText="1" readingOrder="1"/>
      <protection locked="0"/>
    </xf>
    <xf numFmtId="0" fontId="4" fillId="0" borderId="29" xfId="0" applyFont="1" applyFill="1" applyBorder="1" applyAlignment="1" applyProtection="1">
      <alignment horizontal="left" vertical="top" wrapText="1" readingOrder="1"/>
      <protection locked="0"/>
    </xf>
    <xf numFmtId="0" fontId="4" fillId="0" borderId="37" xfId="0" applyFont="1" applyFill="1" applyBorder="1" applyAlignment="1" applyProtection="1">
      <alignment horizontal="left" vertical="top" wrapText="1" readingOrder="1"/>
      <protection locked="0"/>
    </xf>
    <xf numFmtId="0" fontId="3" fillId="0" borderId="45" xfId="0" applyNumberFormat="1" applyFont="1" applyFill="1" applyBorder="1" applyAlignment="1" applyProtection="1">
      <alignment horizontal="center" vertical="top" wrapText="1" shrinkToFit="1"/>
      <protection locked="0"/>
    </xf>
    <xf numFmtId="0" fontId="3" fillId="0" borderId="10" xfId="0" applyNumberFormat="1" applyFont="1" applyFill="1" applyBorder="1" applyAlignment="1" applyProtection="1">
      <alignment horizontal="center" vertical="top" wrapText="1" shrinkToFit="1"/>
      <protection locked="0"/>
    </xf>
    <xf numFmtId="0" fontId="7" fillId="0" borderId="6" xfId="0" applyFont="1" applyFill="1" applyBorder="1" applyAlignment="1" applyProtection="1">
      <alignment horizontal="left" vertical="top" wrapText="1" readingOrder="1"/>
      <protection locked="0"/>
    </xf>
    <xf numFmtId="0" fontId="7" fillId="0" borderId="1" xfId="0" applyFont="1" applyFill="1" applyBorder="1" applyAlignment="1" applyProtection="1">
      <alignment horizontal="left" vertical="top" wrapText="1" readingOrder="1"/>
      <protection locked="0"/>
    </xf>
    <xf numFmtId="0" fontId="4" fillId="0" borderId="14" xfId="0" applyFont="1" applyFill="1" applyBorder="1" applyAlignment="1" applyProtection="1">
      <alignment horizontal="left" vertical="top" wrapText="1" readingOrder="1"/>
      <protection locked="0"/>
    </xf>
    <xf numFmtId="0" fontId="4" fillId="0" borderId="4" xfId="0" applyFont="1" applyFill="1" applyBorder="1" applyAlignment="1" applyProtection="1">
      <alignment horizontal="left" vertical="top" wrapText="1" readingOrder="1"/>
      <protection locked="0"/>
    </xf>
    <xf numFmtId="0" fontId="4" fillId="0" borderId="5" xfId="0" applyFont="1" applyFill="1" applyBorder="1" applyAlignment="1" applyProtection="1">
      <alignment horizontal="center" vertical="center" wrapText="1" readingOrder="1"/>
      <protection locked="0"/>
    </xf>
    <xf numFmtId="0" fontId="4" fillId="0" borderId="11" xfId="0" applyFont="1" applyFill="1" applyBorder="1" applyAlignment="1" applyProtection="1">
      <alignment horizontal="center" vertical="center" wrapText="1" readingOrder="1"/>
      <protection locked="0"/>
    </xf>
    <xf numFmtId="0" fontId="4" fillId="0" borderId="2" xfId="0" applyFont="1" applyFill="1" applyBorder="1" applyAlignment="1" applyProtection="1">
      <alignment horizontal="center" vertical="center" wrapText="1" readingOrder="1"/>
      <protection locked="0"/>
    </xf>
    <xf numFmtId="0" fontId="4" fillId="0" borderId="7" xfId="0" applyFont="1" applyFill="1" applyBorder="1" applyAlignment="1" applyProtection="1">
      <alignment horizontal="center" vertical="center" wrapText="1" readingOrder="1"/>
      <protection locked="0"/>
    </xf>
    <xf numFmtId="0" fontId="4" fillId="0" borderId="1" xfId="0" applyNumberFormat="1" applyFont="1" applyFill="1" applyBorder="1" applyAlignment="1" applyProtection="1">
      <alignment horizontal="center" vertical="top" wrapText="1" shrinkToFit="1" readingOrder="1"/>
      <protection locked="0"/>
    </xf>
    <xf numFmtId="0" fontId="7" fillId="0" borderId="20" xfId="0" applyFont="1" applyFill="1" applyBorder="1" applyAlignment="1" applyProtection="1">
      <alignment horizontal="left" vertical="top" wrapText="1" readingOrder="1"/>
      <protection locked="0"/>
    </xf>
    <xf numFmtId="0" fontId="7" fillId="0" borderId="16" xfId="0" applyFont="1" applyFill="1" applyBorder="1" applyAlignment="1" applyProtection="1">
      <alignment horizontal="left" vertical="top" wrapText="1" readingOrder="1"/>
      <protection locked="0"/>
    </xf>
    <xf numFmtId="0" fontId="7" fillId="0" borderId="6" xfId="0" applyFont="1" applyFill="1" applyBorder="1" applyAlignment="1" applyProtection="1">
      <alignment horizontal="center" vertical="top" wrapText="1" readingOrder="1"/>
      <protection locked="0"/>
    </xf>
    <xf numFmtId="0" fontId="7" fillId="0" borderId="1" xfId="0" applyFont="1" applyFill="1" applyBorder="1" applyAlignment="1" applyProtection="1">
      <alignment horizontal="center" vertical="top" wrapText="1" readingOrder="1"/>
      <protection locked="0"/>
    </xf>
    <xf numFmtId="0" fontId="7" fillId="0" borderId="37" xfId="0" applyFont="1" applyFill="1" applyBorder="1" applyAlignment="1" applyProtection="1">
      <alignment horizontal="left" vertical="top" wrapText="1" readingOrder="1"/>
      <protection locked="0"/>
    </xf>
    <xf numFmtId="0" fontId="6" fillId="0" borderId="14" xfId="0" applyNumberFormat="1" applyFont="1" applyFill="1" applyBorder="1" applyAlignment="1" applyProtection="1">
      <alignment horizontal="center" vertical="top" wrapText="1" shrinkToFit="1"/>
      <protection locked="0"/>
    </xf>
    <xf numFmtId="0" fontId="6" fillId="0" borderId="1" xfId="0" applyNumberFormat="1" applyFont="1" applyFill="1" applyBorder="1" applyAlignment="1" applyProtection="1">
      <alignment horizontal="center" vertical="top" wrapText="1" shrinkToFit="1"/>
      <protection locked="0"/>
    </xf>
    <xf numFmtId="14" fontId="4" fillId="0" borderId="1" xfId="0" applyNumberFormat="1" applyFont="1" applyFill="1" applyBorder="1" applyAlignment="1" applyProtection="1">
      <alignment horizontal="center" vertical="top" wrapText="1" shrinkToFit="1"/>
      <protection locked="0"/>
    </xf>
    <xf numFmtId="0" fontId="7" fillId="0" borderId="37" xfId="0" applyFont="1" applyFill="1" applyBorder="1" applyAlignment="1" applyProtection="1">
      <alignment horizontal="center" vertical="top" wrapText="1" readingOrder="1"/>
      <protection locked="0"/>
    </xf>
    <xf numFmtId="0" fontId="16" fillId="0" borderId="0" xfId="0" applyFont="1" applyFill="1" applyAlignment="1" applyProtection="1">
      <alignment horizontal="center" vertical="top" wrapText="1" readingOrder="1"/>
      <protection locked="0"/>
    </xf>
    <xf numFmtId="0" fontId="4" fillId="0" borderId="3" xfId="0" applyFont="1" applyFill="1" applyBorder="1" applyAlignment="1" applyProtection="1">
      <alignment horizontal="center" vertical="top" wrapText="1" readingOrder="1"/>
      <protection locked="0"/>
    </xf>
    <xf numFmtId="0" fontId="4" fillId="0" borderId="52" xfId="0" applyFont="1" applyFill="1" applyBorder="1" applyAlignment="1" applyProtection="1">
      <alignment vertical="top" wrapText="1"/>
      <protection locked="0"/>
    </xf>
    <xf numFmtId="0" fontId="4" fillId="0" borderId="44" xfId="0" applyFont="1" applyFill="1" applyBorder="1" applyAlignment="1" applyProtection="1">
      <alignment vertical="top" wrapText="1"/>
      <protection locked="0"/>
    </xf>
    <xf numFmtId="0" fontId="4" fillId="0" borderId="6" xfId="0" applyFont="1" applyFill="1" applyBorder="1" applyAlignment="1" applyProtection="1">
      <alignment horizontal="left" vertical="top" wrapText="1" readingOrder="1"/>
      <protection locked="0"/>
    </xf>
    <xf numFmtId="0" fontId="20" fillId="0" borderId="6" xfId="0" applyFont="1" applyFill="1" applyBorder="1" applyAlignment="1" applyProtection="1">
      <alignment horizontal="center" vertical="top" wrapText="1" readingOrder="1"/>
      <protection locked="0"/>
    </xf>
    <xf numFmtId="0" fontId="6" fillId="0" borderId="5" xfId="0" applyNumberFormat="1" applyFont="1" applyFill="1" applyBorder="1" applyAlignment="1" applyProtection="1">
      <alignment horizontal="left" vertical="top" wrapText="1"/>
    </xf>
    <xf numFmtId="0" fontId="6" fillId="0" borderId="5" xfId="0" applyNumberFormat="1" applyFont="1" applyFill="1" applyBorder="1" applyAlignment="1" applyProtection="1">
      <alignment horizontal="center" vertical="top" wrapText="1"/>
    </xf>
    <xf numFmtId="0" fontId="4" fillId="0" borderId="5" xfId="0" applyFont="1" applyFill="1" applyBorder="1" applyAlignment="1" applyProtection="1">
      <alignment horizontal="center" vertical="top" wrapText="1" readingOrder="1"/>
      <protection locked="0"/>
    </xf>
    <xf numFmtId="0" fontId="3" fillId="0" borderId="14" xfId="0" applyNumberFormat="1" applyFont="1" applyFill="1" applyBorder="1" applyAlignment="1" applyProtection="1">
      <alignment horizontal="center" vertical="top" wrapText="1" shrinkToFit="1"/>
      <protection locked="0"/>
    </xf>
    <xf numFmtId="0" fontId="7" fillId="0" borderId="5" xfId="0" applyFont="1" applyFill="1" applyBorder="1" applyAlignment="1" applyProtection="1">
      <alignment horizontal="center" vertical="top" wrapText="1" readingOrder="1"/>
      <protection locked="0"/>
    </xf>
    <xf numFmtId="49" fontId="7" fillId="0" borderId="2" xfId="0" applyNumberFormat="1" applyFont="1" applyFill="1" applyBorder="1" applyAlignment="1" applyProtection="1">
      <alignment horizontal="center" vertical="top" wrapText="1" readingOrder="1"/>
      <protection locked="0"/>
    </xf>
    <xf numFmtId="14" fontId="4" fillId="0" borderId="5" xfId="0" applyNumberFormat="1" applyFont="1" applyFill="1" applyBorder="1" applyAlignment="1" applyProtection="1">
      <alignment horizontal="center" vertical="top" wrapText="1" shrinkToFit="1"/>
      <protection locked="0"/>
    </xf>
    <xf numFmtId="0" fontId="6" fillId="0" borderId="12" xfId="0" applyNumberFormat="1" applyFont="1" applyFill="1" applyBorder="1" applyAlignment="1" applyProtection="1">
      <alignment horizontal="center" vertical="top" wrapText="1" shrinkToFit="1"/>
      <protection locked="0"/>
    </xf>
    <xf numFmtId="0" fontId="6" fillId="0" borderId="10" xfId="0" applyNumberFormat="1" applyFont="1" applyFill="1" applyBorder="1" applyAlignment="1" applyProtection="1">
      <alignment horizontal="center" vertical="top" wrapText="1" shrinkToFit="1"/>
      <protection locked="0"/>
    </xf>
    <xf numFmtId="0" fontId="4" fillId="0" borderId="20" xfId="0" applyFont="1" applyFill="1" applyBorder="1" applyAlignment="1" applyProtection="1">
      <alignment horizontal="center" vertical="center" wrapText="1" readingOrder="1"/>
      <protection locked="0"/>
    </xf>
    <xf numFmtId="0" fontId="4" fillId="0" borderId="13" xfId="0" applyFont="1" applyFill="1" applyBorder="1" applyAlignment="1" applyProtection="1">
      <alignment horizontal="center" vertical="center" wrapText="1" readingOrder="1"/>
      <protection locked="0"/>
    </xf>
    <xf numFmtId="0" fontId="4" fillId="0" borderId="28" xfId="0" applyFont="1" applyFill="1" applyBorder="1" applyAlignment="1" applyProtection="1">
      <alignment horizontal="center" vertical="center" wrapText="1" readingOrder="1"/>
      <protection locked="0"/>
    </xf>
    <xf numFmtId="0" fontId="4" fillId="0" borderId="50" xfId="0" applyFont="1" applyFill="1" applyBorder="1" applyAlignment="1" applyProtection="1">
      <alignment horizontal="center" vertical="center" wrapText="1" readingOrder="1"/>
      <protection locked="0"/>
    </xf>
    <xf numFmtId="0" fontId="4" fillId="0" borderId="6" xfId="0" applyFont="1" applyFill="1" applyBorder="1" applyAlignment="1" applyProtection="1">
      <alignment horizontal="center" vertical="top" wrapText="1" readingOrder="1"/>
      <protection locked="0"/>
    </xf>
    <xf numFmtId="0" fontId="3" fillId="0" borderId="6" xfId="0" applyNumberFormat="1" applyFont="1" applyFill="1" applyBorder="1" applyAlignment="1" applyProtection="1">
      <alignment horizontal="center" vertical="center" wrapText="1" shrinkToFit="1"/>
      <protection locked="0"/>
    </xf>
    <xf numFmtId="0" fontId="3" fillId="0" borderId="1" xfId="0" applyNumberFormat="1" applyFont="1" applyFill="1" applyBorder="1" applyAlignment="1" applyProtection="1">
      <alignment horizontal="center" vertical="center" wrapText="1" shrinkToFit="1"/>
      <protection locked="0"/>
    </xf>
    <xf numFmtId="0" fontId="3" fillId="0" borderId="4" xfId="0" applyNumberFormat="1" applyFont="1" applyFill="1" applyBorder="1" applyAlignment="1" applyProtection="1">
      <alignment horizontal="center" vertical="center" wrapText="1" shrinkToFit="1"/>
      <protection locked="0"/>
    </xf>
    <xf numFmtId="0" fontId="4" fillId="0" borderId="4" xfId="0" applyFont="1" applyFill="1" applyBorder="1" applyAlignment="1" applyProtection="1">
      <alignment horizontal="center" vertical="top" wrapText="1" readingOrder="1"/>
      <protection locked="0"/>
    </xf>
    <xf numFmtId="14" fontId="4" fillId="0" borderId="12" xfId="0" applyNumberFormat="1" applyFont="1" applyFill="1" applyBorder="1" applyAlignment="1" applyProtection="1">
      <alignment horizontal="center" vertical="top" wrapText="1" readingOrder="1"/>
      <protection locked="0"/>
    </xf>
    <xf numFmtId="0" fontId="4" fillId="0" borderId="10" xfId="0" applyFont="1" applyFill="1" applyBorder="1" applyAlignment="1" applyProtection="1">
      <alignment horizontal="center" vertical="top" wrapText="1" readingOrder="1"/>
      <protection locked="0"/>
    </xf>
    <xf numFmtId="0" fontId="3" fillId="0" borderId="18" xfId="0" applyNumberFormat="1" applyFont="1" applyFill="1" applyBorder="1" applyAlignment="1" applyProtection="1">
      <alignment horizontal="center" vertical="top" wrapText="1" shrinkToFit="1"/>
      <protection locked="0"/>
    </xf>
    <xf numFmtId="14" fontId="3" fillId="0" borderId="2" xfId="0" applyNumberFormat="1" applyFont="1" applyFill="1" applyBorder="1" applyAlignment="1" applyProtection="1">
      <alignment horizontal="center" vertical="top" wrapText="1" shrinkToFit="1"/>
      <protection locked="0"/>
    </xf>
    <xf numFmtId="0" fontId="4" fillId="0" borderId="51" xfId="0" applyNumberFormat="1" applyFont="1" applyFill="1" applyBorder="1" applyAlignment="1" applyProtection="1">
      <alignment horizontal="center" vertical="top" wrapText="1" shrinkToFit="1"/>
      <protection locked="0"/>
    </xf>
    <xf numFmtId="0" fontId="4" fillId="0" borderId="39" xfId="0" applyNumberFormat="1" applyFont="1" applyFill="1" applyBorder="1" applyAlignment="1" applyProtection="1">
      <alignment horizontal="center" vertical="top" wrapText="1" shrinkToFit="1"/>
      <protection locked="0"/>
    </xf>
    <xf numFmtId="14" fontId="4" fillId="0" borderId="6" xfId="0" applyNumberFormat="1" applyFont="1" applyFill="1" applyBorder="1" applyAlignment="1" applyProtection="1">
      <alignment horizontal="center" vertical="top" wrapText="1" shrinkToFit="1"/>
      <protection locked="0"/>
    </xf>
    <xf numFmtId="14" fontId="4" fillId="0" borderId="4" xfId="0" applyNumberFormat="1" applyFont="1" applyFill="1" applyBorder="1" applyAlignment="1" applyProtection="1">
      <alignment horizontal="center" vertical="top" wrapText="1" shrinkToFit="1"/>
      <protection locked="0"/>
    </xf>
    <xf numFmtId="0" fontId="0" fillId="0" borderId="1" xfId="0" applyFill="1" applyBorder="1"/>
    <xf numFmtId="0" fontId="4" fillId="0" borderId="20" xfId="0" applyFont="1" applyFill="1" applyBorder="1" applyAlignment="1" applyProtection="1">
      <alignment horizontal="center" vertical="top" wrapText="1" readingOrder="1"/>
      <protection locked="0"/>
    </xf>
    <xf numFmtId="0" fontId="4" fillId="0" borderId="16" xfId="0" applyFont="1" applyFill="1" applyBorder="1" applyAlignment="1" applyProtection="1">
      <alignment horizontal="center" vertical="top" wrapText="1" readingOrder="1"/>
      <protection locked="0"/>
    </xf>
    <xf numFmtId="49" fontId="4" fillId="0" borderId="11" xfId="0" applyNumberFormat="1" applyFont="1" applyFill="1" applyBorder="1" applyAlignment="1" applyProtection="1">
      <alignment horizontal="center" vertical="top" wrapText="1" readingOrder="1"/>
      <protection locked="0"/>
    </xf>
    <xf numFmtId="49" fontId="4" fillId="0" borderId="2" xfId="0" applyNumberFormat="1" applyFont="1" applyFill="1" applyBorder="1" applyAlignment="1" applyProtection="1">
      <alignment horizontal="center" vertical="top" wrapText="1" readingOrder="1"/>
      <protection locked="0"/>
    </xf>
    <xf numFmtId="0" fontId="4" fillId="0" borderId="2" xfId="0" applyNumberFormat="1" applyFont="1" applyFill="1" applyBorder="1" applyAlignment="1" applyProtection="1">
      <alignment horizontal="center" vertical="top" wrapText="1" shrinkToFit="1"/>
      <protection locked="0"/>
    </xf>
    <xf numFmtId="0" fontId="4" fillId="0" borderId="7" xfId="0" applyNumberFormat="1" applyFont="1" applyFill="1" applyBorder="1" applyAlignment="1" applyProtection="1">
      <alignment horizontal="center" vertical="top" wrapText="1" shrinkToFit="1"/>
      <protection locked="0"/>
    </xf>
    <xf numFmtId="0" fontId="6" fillId="0" borderId="10" xfId="0" applyNumberFormat="1" applyFont="1" applyFill="1" applyBorder="1" applyAlignment="1" applyProtection="1">
      <alignment horizontal="center" vertical="top" wrapText="1"/>
    </xf>
    <xf numFmtId="4" fontId="4" fillId="0" borderId="14" xfId="0" applyNumberFormat="1" applyFont="1" applyFill="1" applyBorder="1" applyAlignment="1" applyProtection="1">
      <alignment horizontal="right" vertical="center" wrapText="1" readingOrder="1"/>
      <protection locked="0"/>
    </xf>
    <xf numFmtId="4" fontId="4" fillId="0" borderId="1" xfId="0" applyNumberFormat="1" applyFont="1" applyFill="1" applyBorder="1" applyAlignment="1" applyProtection="1">
      <alignment horizontal="right" vertical="center" wrapText="1" readingOrder="1"/>
      <protection locked="0"/>
    </xf>
    <xf numFmtId="0" fontId="4" fillId="0" borderId="16" xfId="0" applyFont="1" applyFill="1" applyBorder="1" applyAlignment="1" applyProtection="1">
      <alignment horizontal="center" vertical="center" wrapText="1" readingOrder="1"/>
      <protection locked="0"/>
    </xf>
    <xf numFmtId="0" fontId="4" fillId="0" borderId="14" xfId="0" applyFont="1" applyFill="1" applyBorder="1" applyAlignment="1" applyProtection="1">
      <alignment horizontal="right" vertical="center" wrapText="1" readingOrder="1"/>
      <protection locked="0"/>
    </xf>
    <xf numFmtId="0" fontId="4" fillId="0" borderId="1" xfId="0" applyFont="1" applyFill="1" applyBorder="1" applyAlignment="1" applyProtection="1">
      <alignment horizontal="right" vertical="center" wrapText="1" readingOrder="1"/>
      <protection locked="0"/>
    </xf>
    <xf numFmtId="0" fontId="7" fillId="0" borderId="20" xfId="0" applyFont="1" applyFill="1" applyBorder="1" applyAlignment="1" applyProtection="1">
      <alignment horizontal="center" vertical="top" wrapText="1" readingOrder="1"/>
      <protection locked="0"/>
    </xf>
    <xf numFmtId="0" fontId="7" fillId="0" borderId="16" xfId="0" applyFont="1" applyFill="1" applyBorder="1" applyAlignment="1" applyProtection="1">
      <alignment horizontal="center" vertical="top" wrapText="1" readingOrder="1"/>
      <protection locked="0"/>
    </xf>
    <xf numFmtId="0" fontId="3" fillId="0" borderId="9" xfId="0" applyNumberFormat="1" applyFont="1" applyFill="1" applyBorder="1" applyAlignment="1" applyProtection="1">
      <alignment horizontal="center" vertical="top" wrapText="1" shrinkToFit="1"/>
      <protection locked="0"/>
    </xf>
    <xf numFmtId="0" fontId="3" fillId="0" borderId="0" xfId="0" applyNumberFormat="1" applyFont="1" applyFill="1" applyBorder="1" applyAlignment="1" applyProtection="1">
      <alignment horizontal="center" vertical="top" wrapText="1" shrinkToFit="1"/>
      <protection locked="0"/>
    </xf>
    <xf numFmtId="0" fontId="3" fillId="0" borderId="50" xfId="0" applyNumberFormat="1" applyFont="1" applyFill="1" applyBorder="1" applyAlignment="1" applyProtection="1">
      <alignment horizontal="center" vertical="top" wrapText="1" shrinkToFit="1"/>
      <protection locked="0"/>
    </xf>
    <xf numFmtId="0" fontId="3" fillId="0" borderId="12" xfId="0" applyNumberFormat="1" applyFont="1" applyFill="1" applyBorder="1" applyAlignment="1" applyProtection="1">
      <alignment horizontal="center" vertical="top" wrapText="1" shrinkToFit="1"/>
      <protection locked="0"/>
    </xf>
    <xf numFmtId="0" fontId="3" fillId="0" borderId="34" xfId="0" applyNumberFormat="1" applyFont="1" applyFill="1" applyBorder="1" applyAlignment="1" applyProtection="1">
      <alignment horizontal="center" vertical="top" wrapText="1" shrinkToFit="1"/>
      <protection locked="0"/>
    </xf>
    <xf numFmtId="14" fontId="3" fillId="0" borderId="11" xfId="0" applyNumberFormat="1" applyFont="1" applyFill="1" applyBorder="1" applyAlignment="1" applyProtection="1">
      <alignment horizontal="center" vertical="top" wrapText="1" shrinkToFit="1"/>
      <protection locked="0"/>
    </xf>
    <xf numFmtId="14" fontId="3" fillId="0" borderId="7" xfId="0" applyNumberFormat="1" applyFont="1" applyFill="1" applyBorder="1" applyAlignment="1" applyProtection="1">
      <alignment horizontal="center" vertical="top" wrapText="1" shrinkToFit="1"/>
      <protection locked="0"/>
    </xf>
    <xf numFmtId="49" fontId="4" fillId="0" borderId="6" xfId="0" applyNumberFormat="1" applyFont="1" applyFill="1" applyBorder="1" applyAlignment="1" applyProtection="1">
      <alignment horizontal="center" vertical="top" wrapText="1" readingOrder="1"/>
      <protection locked="0"/>
    </xf>
    <xf numFmtId="49" fontId="4" fillId="0" borderId="1" xfId="0" applyNumberFormat="1" applyFont="1" applyFill="1" applyBorder="1" applyAlignment="1" applyProtection="1">
      <alignment horizontal="center" vertical="top" wrapText="1" readingOrder="1"/>
      <protection locked="0"/>
    </xf>
    <xf numFmtId="0" fontId="7" fillId="0" borderId="4" xfId="0" applyFont="1" applyFill="1" applyBorder="1" applyAlignment="1" applyProtection="1">
      <alignment horizontal="left" vertical="top" wrapText="1" readingOrder="1"/>
      <protection locked="0"/>
    </xf>
    <xf numFmtId="0" fontId="4" fillId="0" borderId="1" xfId="0" applyFont="1" applyFill="1" applyBorder="1" applyAlignment="1" applyProtection="1">
      <alignment horizontal="center" vertical="top" wrapText="1"/>
      <protection locked="0"/>
    </xf>
    <xf numFmtId="0" fontId="4" fillId="0" borderId="8"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top" wrapText="1"/>
      <protection locked="0"/>
    </xf>
    <xf numFmtId="0" fontId="6" fillId="0" borderId="1" xfId="0" applyNumberFormat="1" applyFont="1" applyFill="1" applyBorder="1" applyAlignment="1" applyProtection="1">
      <alignment horizontal="center" vertical="top" wrapText="1"/>
    </xf>
    <xf numFmtId="0" fontId="4" fillId="0" borderId="28" xfId="0" applyFont="1" applyFill="1" applyBorder="1" applyAlignment="1" applyProtection="1">
      <alignment horizontal="center" vertical="top" wrapText="1" readingOrder="1"/>
      <protection locked="0"/>
    </xf>
    <xf numFmtId="0" fontId="6" fillId="0" borderId="11" xfId="0" applyNumberFormat="1" applyFont="1" applyFill="1" applyBorder="1" applyAlignment="1" applyProtection="1">
      <alignment horizontal="center" vertical="top" wrapText="1" shrinkToFit="1"/>
      <protection locked="0"/>
    </xf>
    <xf numFmtId="0" fontId="6" fillId="0" borderId="2" xfId="0" applyNumberFormat="1" applyFont="1" applyFill="1" applyBorder="1" applyAlignment="1" applyProtection="1">
      <alignment horizontal="center" vertical="top" wrapText="1" shrinkToFit="1"/>
      <protection locked="0"/>
    </xf>
    <xf numFmtId="0" fontId="6" fillId="0" borderId="7" xfId="0" applyNumberFormat="1" applyFont="1" applyFill="1" applyBorder="1" applyAlignment="1" applyProtection="1">
      <alignment horizontal="center" vertical="top" wrapText="1" shrinkToFit="1"/>
      <protection locked="0"/>
    </xf>
    <xf numFmtId="49" fontId="12" fillId="0" borderId="27" xfId="0" applyNumberFormat="1" applyFont="1" applyFill="1" applyBorder="1" applyAlignment="1">
      <alignment horizontal="center" vertical="center"/>
    </xf>
    <xf numFmtId="49" fontId="12" fillId="0" borderId="25" xfId="0" applyNumberFormat="1" applyFont="1" applyFill="1" applyBorder="1" applyAlignment="1">
      <alignment horizontal="center" vertical="center"/>
    </xf>
    <xf numFmtId="49" fontId="12" fillId="3" borderId="27" xfId="0" applyNumberFormat="1" applyFont="1" applyFill="1" applyBorder="1" applyAlignment="1">
      <alignment horizontal="center" vertical="center"/>
    </xf>
    <xf numFmtId="49" fontId="12" fillId="3" borderId="25" xfId="0" applyNumberFormat="1" applyFont="1" applyFill="1" applyBorder="1" applyAlignment="1">
      <alignment horizontal="center" vertical="center"/>
    </xf>
    <xf numFmtId="49" fontId="12" fillId="2" borderId="27" xfId="0" applyNumberFormat="1" applyFont="1" applyFill="1" applyBorder="1" applyAlignment="1">
      <alignment horizontal="center" vertical="center"/>
    </xf>
    <xf numFmtId="49" fontId="12" fillId="2" borderId="25"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cellXfs>
  <cellStyles count="2">
    <cellStyle name="Обычный" xfId="0" builtinId="0"/>
    <cellStyle name="Обычный_TMP_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S545"/>
  <sheetViews>
    <sheetView showGridLines="0" tabSelected="1" zoomScaleNormal="100" zoomScaleSheetLayoutView="80" workbookViewId="0">
      <pane xSplit="2" ySplit="5" topLeftCell="C26" activePane="bottomRight" state="frozen"/>
      <selection pane="topRight" activeCell="C1" sqref="C1"/>
      <selection pane="bottomLeft" activeCell="A6" sqref="A6"/>
      <selection pane="bottomRight" activeCell="G457" sqref="G457"/>
    </sheetView>
  </sheetViews>
  <sheetFormatPr defaultRowHeight="18.75"/>
  <cols>
    <col min="1" max="1" width="36.140625" style="31" customWidth="1"/>
    <col min="2" max="2" width="5.85546875" style="288" customWidth="1"/>
    <col min="3" max="3" width="22" style="31" customWidth="1"/>
    <col min="4" max="4" width="6.28515625" style="31" customWidth="1"/>
    <col min="5" max="5" width="9" style="31" customWidth="1"/>
    <col min="6" max="6" width="22.140625" style="31" customWidth="1"/>
    <col min="7" max="7" width="6.5703125" style="31" customWidth="1"/>
    <col min="8" max="8" width="10" style="31" customWidth="1"/>
    <col min="9" max="9" width="49" style="31" customWidth="1"/>
    <col min="10" max="10" width="6.42578125" style="31" customWidth="1"/>
    <col min="11" max="11" width="9.7109375" style="31" customWidth="1"/>
    <col min="12" max="13" width="3.7109375" style="31" customWidth="1"/>
    <col min="14" max="14" width="10.140625" style="31" customWidth="1"/>
    <col min="15" max="15" width="9.42578125" style="31" customWidth="1"/>
    <col min="16" max="17" width="10.140625" style="31" customWidth="1"/>
    <col min="18" max="18" width="9.28515625" style="31" customWidth="1"/>
    <col min="19" max="16384" width="9.140625" style="113"/>
  </cols>
  <sheetData>
    <row r="1" spans="1:18" ht="18" customHeight="1">
      <c r="A1" s="605" t="s">
        <v>1472</v>
      </c>
      <c r="B1" s="605"/>
      <c r="C1" s="605"/>
      <c r="D1" s="605"/>
      <c r="E1" s="605"/>
      <c r="F1" s="605"/>
      <c r="G1" s="605"/>
      <c r="H1" s="605"/>
      <c r="I1" s="605"/>
      <c r="J1" s="605"/>
      <c r="K1" s="605"/>
      <c r="L1" s="605"/>
      <c r="M1" s="605"/>
      <c r="N1" s="605"/>
      <c r="O1" s="605"/>
      <c r="P1" s="605"/>
      <c r="Q1" s="605"/>
      <c r="R1" s="605"/>
    </row>
    <row r="2" spans="1:18" s="114" customFormat="1" ht="12.75" customHeight="1">
      <c r="A2" s="592" t="s">
        <v>554</v>
      </c>
      <c r="B2" s="549" t="s">
        <v>0</v>
      </c>
      <c r="C2" s="606" t="s">
        <v>555</v>
      </c>
      <c r="D2" s="607"/>
      <c r="E2" s="607"/>
      <c r="F2" s="607"/>
      <c r="G2" s="607"/>
      <c r="H2" s="607"/>
      <c r="I2" s="607"/>
      <c r="J2" s="607"/>
      <c r="K2" s="608"/>
      <c r="L2" s="620" t="s">
        <v>1</v>
      </c>
      <c r="M2" s="621"/>
      <c r="N2" s="613" t="s">
        <v>2</v>
      </c>
      <c r="O2" s="613"/>
      <c r="P2" s="613"/>
      <c r="Q2" s="613"/>
      <c r="R2" s="613"/>
    </row>
    <row r="3" spans="1:18" s="114" customFormat="1" ht="23.25" customHeight="1">
      <c r="A3" s="593"/>
      <c r="B3" s="564"/>
      <c r="C3" s="606" t="s">
        <v>7</v>
      </c>
      <c r="D3" s="607"/>
      <c r="E3" s="608"/>
      <c r="F3" s="606" t="s">
        <v>8</v>
      </c>
      <c r="G3" s="607"/>
      <c r="H3" s="608"/>
      <c r="I3" s="606" t="s">
        <v>55</v>
      </c>
      <c r="J3" s="607"/>
      <c r="K3" s="608"/>
      <c r="L3" s="622"/>
      <c r="M3" s="623"/>
      <c r="N3" s="591">
        <v>2019</v>
      </c>
      <c r="O3" s="591"/>
      <c r="P3" s="591" t="s">
        <v>1112</v>
      </c>
      <c r="Q3" s="591" t="s">
        <v>1113</v>
      </c>
      <c r="R3" s="491" t="s">
        <v>9</v>
      </c>
    </row>
    <row r="4" spans="1:18" s="114" customFormat="1" ht="86.25" customHeight="1">
      <c r="A4" s="594"/>
      <c r="B4" s="550"/>
      <c r="C4" s="488" t="s">
        <v>447</v>
      </c>
      <c r="D4" s="488" t="s">
        <v>10</v>
      </c>
      <c r="E4" s="488" t="s">
        <v>11</v>
      </c>
      <c r="F4" s="488" t="s">
        <v>447</v>
      </c>
      <c r="G4" s="488" t="s">
        <v>10</v>
      </c>
      <c r="H4" s="488" t="s">
        <v>11</v>
      </c>
      <c r="I4" s="488" t="s">
        <v>447</v>
      </c>
      <c r="J4" s="488" t="s">
        <v>10</v>
      </c>
      <c r="K4" s="488" t="s">
        <v>11</v>
      </c>
      <c r="L4" s="488" t="s">
        <v>12</v>
      </c>
      <c r="M4" s="140" t="s">
        <v>13</v>
      </c>
      <c r="N4" s="491" t="s">
        <v>14</v>
      </c>
      <c r="O4" s="491" t="s">
        <v>15</v>
      </c>
      <c r="P4" s="591"/>
      <c r="Q4" s="591"/>
      <c r="R4" s="491" t="s">
        <v>1114</v>
      </c>
    </row>
    <row r="5" spans="1:18" s="114" customFormat="1" ht="12">
      <c r="A5" s="448" t="s">
        <v>3</v>
      </c>
      <c r="B5" s="448" t="s">
        <v>16</v>
      </c>
      <c r="C5" s="488" t="s">
        <v>17</v>
      </c>
      <c r="D5" s="488" t="s">
        <v>18</v>
      </c>
      <c r="E5" s="488" t="s">
        <v>19</v>
      </c>
      <c r="F5" s="488" t="s">
        <v>20</v>
      </c>
      <c r="G5" s="488" t="s">
        <v>21</v>
      </c>
      <c r="H5" s="488" t="s">
        <v>22</v>
      </c>
      <c r="I5" s="488">
        <v>9</v>
      </c>
      <c r="J5" s="488">
        <v>10</v>
      </c>
      <c r="K5" s="488">
        <v>11</v>
      </c>
      <c r="L5" s="488">
        <v>12</v>
      </c>
      <c r="M5" s="140">
        <v>13</v>
      </c>
      <c r="N5" s="431">
        <v>14</v>
      </c>
      <c r="O5" s="431">
        <v>15</v>
      </c>
      <c r="P5" s="431">
        <v>16</v>
      </c>
      <c r="Q5" s="431">
        <v>17</v>
      </c>
      <c r="R5" s="431">
        <v>18</v>
      </c>
    </row>
    <row r="6" spans="1:18" s="115" customFormat="1" ht="60" customHeight="1">
      <c r="A6" s="37" t="s">
        <v>546</v>
      </c>
      <c r="B6" s="467" t="s">
        <v>28</v>
      </c>
      <c r="C6" s="467" t="s">
        <v>29</v>
      </c>
      <c r="D6" s="467" t="s">
        <v>29</v>
      </c>
      <c r="E6" s="467" t="s">
        <v>29</v>
      </c>
      <c r="F6" s="467" t="s">
        <v>29</v>
      </c>
      <c r="G6" s="467" t="s">
        <v>29</v>
      </c>
      <c r="H6" s="467" t="s">
        <v>29</v>
      </c>
      <c r="I6" s="467" t="s">
        <v>29</v>
      </c>
      <c r="J6" s="467" t="s">
        <v>29</v>
      </c>
      <c r="K6" s="467" t="s">
        <v>29</v>
      </c>
      <c r="L6" s="467"/>
      <c r="M6" s="511"/>
      <c r="N6" s="163">
        <f>N7+N253+N304+N332+N393+N398</f>
        <v>1777321.9390000002</v>
      </c>
      <c r="O6" s="163">
        <f>O7+O253+O304+O332+O393+O398</f>
        <v>1729929.0179999999</v>
      </c>
      <c r="P6" s="163">
        <f>P7+P253+P304+P332+P393+P398</f>
        <v>1811341.1582200001</v>
      </c>
      <c r="Q6" s="163">
        <f>Q7+Q253+Q304+Q332+Q393+Q398</f>
        <v>1539869.102</v>
      </c>
      <c r="R6" s="163">
        <f>R7+R253+R304+R332+R393+R398</f>
        <v>1323286.3900000001</v>
      </c>
    </row>
    <row r="7" spans="1:18" s="115" customFormat="1" ht="72">
      <c r="A7" s="37" t="s">
        <v>547</v>
      </c>
      <c r="B7" s="467" t="s">
        <v>30</v>
      </c>
      <c r="C7" s="467" t="s">
        <v>29</v>
      </c>
      <c r="D7" s="467" t="s">
        <v>29</v>
      </c>
      <c r="E7" s="467" t="s">
        <v>29</v>
      </c>
      <c r="F7" s="467" t="s">
        <v>29</v>
      </c>
      <c r="G7" s="467" t="s">
        <v>29</v>
      </c>
      <c r="H7" s="467" t="s">
        <v>29</v>
      </c>
      <c r="I7" s="467" t="s">
        <v>29</v>
      </c>
      <c r="J7" s="467" t="s">
        <v>29</v>
      </c>
      <c r="K7" s="467" t="s">
        <v>29</v>
      </c>
      <c r="L7" s="467"/>
      <c r="M7" s="511"/>
      <c r="N7" s="164">
        <f>N8+N247</f>
        <v>541386.73499999999</v>
      </c>
      <c r="O7" s="164">
        <f>O8+O247</f>
        <v>527231.1</v>
      </c>
      <c r="P7" s="164">
        <f>P8+P247</f>
        <v>679122.11499999987</v>
      </c>
      <c r="Q7" s="164">
        <f>Q8+Q247</f>
        <v>594918.05700000003</v>
      </c>
      <c r="R7" s="164">
        <f>R8+R247</f>
        <v>372870.505</v>
      </c>
    </row>
    <row r="8" spans="1:18" s="115" customFormat="1" ht="72">
      <c r="A8" s="37" t="s">
        <v>600</v>
      </c>
      <c r="B8" s="467">
        <v>1002</v>
      </c>
      <c r="C8" s="467" t="s">
        <v>29</v>
      </c>
      <c r="D8" s="467" t="s">
        <v>29</v>
      </c>
      <c r="E8" s="467" t="s">
        <v>29</v>
      </c>
      <c r="F8" s="467" t="s">
        <v>29</v>
      </c>
      <c r="G8" s="467" t="s">
        <v>29</v>
      </c>
      <c r="H8" s="467" t="s">
        <v>29</v>
      </c>
      <c r="I8" s="467" t="s">
        <v>29</v>
      </c>
      <c r="J8" s="467" t="s">
        <v>29</v>
      </c>
      <c r="K8" s="467" t="s">
        <v>29</v>
      </c>
      <c r="L8" s="65"/>
      <c r="M8" s="160"/>
      <c r="N8" s="164">
        <f>N9+N11+N12+N17+N19+N21+N22+N23+N31+N32+N49+N78+N109+N126+N129+N130+N133+N144+N145+N157+N175+N178+N181+N183+N189+N197+N198+N208+N228+N230</f>
        <v>479154.16</v>
      </c>
      <c r="O8" s="164">
        <f>O9+O11+O12+O17+O19+O21+O22+O23+O31+O32+O49+O78+O109+O126+O129+O130+O133+O144+O145+O157+O175+O178+O181+O183+O189+O197+O198+O208+O228+O230</f>
        <v>464998.52500000002</v>
      </c>
      <c r="P8" s="164">
        <f>P9+P11+P12+P17+P19+P21+P22+P23+P31+P32+P49+P78+P109+P126+P129+P130+P133+P144+P145+P152+P157+P175+P178+P181+P183+P189+P197+P198+P208+P228+P230+P245+P246</f>
        <v>613883.5149999999</v>
      </c>
      <c r="Q8" s="164">
        <f t="shared" ref="Q8:R8" si="0">Q9+Q11+Q12+Q17+Q19+Q21+Q22+Q23+Q31+Q32+Q49+Q78+Q109+Q126+Q129+Q130+Q133+Q144+Q145+Q152+Q157+Q175+Q178+Q181+Q183+Q189+Q197+Q198+Q208+Q228+Q230+Q245+Q246</f>
        <v>594918.05700000003</v>
      </c>
      <c r="R8" s="164">
        <f t="shared" si="0"/>
        <v>372870.505</v>
      </c>
    </row>
    <row r="9" spans="1:18" s="115" customFormat="1" ht="12" customHeight="1">
      <c r="A9" s="596" t="s">
        <v>548</v>
      </c>
      <c r="B9" s="615">
        <v>1005</v>
      </c>
      <c r="C9" s="219"/>
      <c r="D9" s="51"/>
      <c r="E9" s="51"/>
      <c r="F9" s="51"/>
      <c r="G9" s="51"/>
      <c r="H9" s="51"/>
      <c r="I9" s="15"/>
      <c r="J9" s="15"/>
      <c r="K9" s="15"/>
      <c r="L9" s="493" t="s">
        <v>32</v>
      </c>
      <c r="M9" s="145" t="s">
        <v>26</v>
      </c>
      <c r="N9" s="164">
        <f>SUM(N10:N10)</f>
        <v>3685.1880000000001</v>
      </c>
      <c r="O9" s="164">
        <f t="shared" ref="O9:R9" si="1">SUM(O10:O10)</f>
        <v>3667.3959999999997</v>
      </c>
      <c r="P9" s="164">
        <f t="shared" si="1"/>
        <v>3361.8789999999999</v>
      </c>
      <c r="Q9" s="164">
        <f t="shared" si="1"/>
        <v>3153.1</v>
      </c>
      <c r="R9" s="164">
        <f t="shared" si="1"/>
        <v>3153.1</v>
      </c>
    </row>
    <row r="10" spans="1:18" s="114" customFormat="1" ht="144.75" customHeight="1">
      <c r="A10" s="597"/>
      <c r="B10" s="615"/>
      <c r="C10" s="290" t="s">
        <v>56</v>
      </c>
      <c r="D10" s="453" t="s">
        <v>73</v>
      </c>
      <c r="E10" s="453" t="s">
        <v>57</v>
      </c>
      <c r="F10" s="459" t="s">
        <v>31</v>
      </c>
      <c r="G10" s="459" t="s">
        <v>31</v>
      </c>
      <c r="H10" s="459" t="s">
        <v>31</v>
      </c>
      <c r="I10" s="291" t="s">
        <v>993</v>
      </c>
      <c r="J10" s="459" t="s">
        <v>74</v>
      </c>
      <c r="K10" s="459" t="s">
        <v>75</v>
      </c>
      <c r="L10" s="459" t="s">
        <v>32</v>
      </c>
      <c r="M10" s="507" t="s">
        <v>26</v>
      </c>
      <c r="N10" s="63">
        <f>3327.588+330+27.6</f>
        <v>3685.1880000000001</v>
      </c>
      <c r="O10" s="63">
        <f>3309.676+330+27.6+0.12</f>
        <v>3667.3959999999997</v>
      </c>
      <c r="P10" s="63">
        <f>3361.879</f>
        <v>3361.8789999999999</v>
      </c>
      <c r="Q10" s="63">
        <v>3153.1</v>
      </c>
      <c r="R10" s="63">
        <v>3153.1</v>
      </c>
    </row>
    <row r="11" spans="1:18" s="115" customFormat="1" ht="59.25" customHeight="1">
      <c r="A11" s="69" t="s">
        <v>549</v>
      </c>
      <c r="B11" s="493">
        <v>1006</v>
      </c>
      <c r="C11" s="472" t="s">
        <v>56</v>
      </c>
      <c r="D11" s="472" t="s">
        <v>344</v>
      </c>
      <c r="E11" s="472" t="s">
        <v>57</v>
      </c>
      <c r="F11" s="493"/>
      <c r="G11" s="493"/>
      <c r="H11" s="493"/>
      <c r="I11" s="491" t="s">
        <v>91</v>
      </c>
      <c r="J11" s="491" t="s">
        <v>68</v>
      </c>
      <c r="K11" s="491" t="s">
        <v>71</v>
      </c>
      <c r="L11" s="493" t="s">
        <v>35</v>
      </c>
      <c r="M11" s="493" t="s">
        <v>36</v>
      </c>
      <c r="N11" s="98">
        <v>0</v>
      </c>
      <c r="O11" s="98">
        <v>0</v>
      </c>
      <c r="P11" s="98">
        <v>28703.445</v>
      </c>
      <c r="Q11" s="98">
        <v>40199.699999999997</v>
      </c>
      <c r="R11" s="98">
        <v>29199.7</v>
      </c>
    </row>
    <row r="12" spans="1:18" s="115" customFormat="1" ht="12" customHeight="1">
      <c r="A12" s="600" t="s">
        <v>601</v>
      </c>
      <c r="B12" s="604">
        <v>1007</v>
      </c>
      <c r="C12" s="495"/>
      <c r="D12" s="495"/>
      <c r="E12" s="495"/>
      <c r="F12" s="495"/>
      <c r="G12" s="495"/>
      <c r="H12" s="365"/>
      <c r="I12" s="365"/>
      <c r="J12" s="365"/>
      <c r="K12" s="365"/>
      <c r="L12" s="495" t="s">
        <v>37</v>
      </c>
      <c r="M12" s="495" t="s">
        <v>38</v>
      </c>
      <c r="N12" s="366">
        <f>SUM(N13:N16)</f>
        <v>3284.4290000000001</v>
      </c>
      <c r="O12" s="366">
        <f t="shared" ref="O12:R12" si="2">SUM(O13:O16)</f>
        <v>2793.1869999999999</v>
      </c>
      <c r="P12" s="366">
        <f t="shared" si="2"/>
        <v>4143.9219999999996</v>
      </c>
      <c r="Q12" s="366">
        <f t="shared" si="2"/>
        <v>43102.3</v>
      </c>
      <c r="R12" s="366">
        <f t="shared" si="2"/>
        <v>43102.3</v>
      </c>
    </row>
    <row r="13" spans="1:18" s="114" customFormat="1" ht="84" customHeight="1">
      <c r="A13" s="580"/>
      <c r="B13" s="573"/>
      <c r="C13" s="447" t="s">
        <v>56</v>
      </c>
      <c r="D13" s="447" t="s">
        <v>81</v>
      </c>
      <c r="E13" s="447" t="s">
        <v>57</v>
      </c>
      <c r="F13" s="447" t="s">
        <v>1273</v>
      </c>
      <c r="G13" s="447" t="s">
        <v>1274</v>
      </c>
      <c r="H13" s="447" t="s">
        <v>1345</v>
      </c>
      <c r="I13" s="477" t="s">
        <v>76</v>
      </c>
      <c r="J13" s="477" t="s">
        <v>77</v>
      </c>
      <c r="K13" s="477" t="s">
        <v>78</v>
      </c>
      <c r="L13" s="447"/>
      <c r="M13" s="447"/>
      <c r="N13" s="20">
        <v>2793.1959999999999</v>
      </c>
      <c r="O13" s="20">
        <v>2793.1869999999999</v>
      </c>
      <c r="P13" s="20">
        <v>4143.9219999999996</v>
      </c>
      <c r="Q13" s="20">
        <v>43102.3</v>
      </c>
      <c r="R13" s="170">
        <v>43102.3</v>
      </c>
    </row>
    <row r="14" spans="1:18" s="114" customFormat="1" ht="108.75" customHeight="1">
      <c r="A14" s="580"/>
      <c r="B14" s="573"/>
      <c r="C14" s="459"/>
      <c r="D14" s="459"/>
      <c r="E14" s="459"/>
      <c r="F14" s="459"/>
      <c r="G14" s="459"/>
      <c r="H14" s="459"/>
      <c r="I14" s="453" t="s">
        <v>1043</v>
      </c>
      <c r="J14" s="453" t="s">
        <v>68</v>
      </c>
      <c r="K14" s="453" t="s">
        <v>599</v>
      </c>
      <c r="L14" s="459"/>
      <c r="M14" s="459"/>
      <c r="N14" s="53"/>
      <c r="O14" s="53"/>
      <c r="P14" s="53"/>
      <c r="Q14" s="53"/>
      <c r="R14" s="171"/>
    </row>
    <row r="15" spans="1:18" s="114" customFormat="1" ht="84">
      <c r="A15" s="580"/>
      <c r="B15" s="573"/>
      <c r="C15" s="459"/>
      <c r="D15" s="459"/>
      <c r="E15" s="459"/>
      <c r="F15" s="459"/>
      <c r="G15" s="459"/>
      <c r="H15" s="459"/>
      <c r="I15" s="453" t="s">
        <v>1121</v>
      </c>
      <c r="J15" s="453" t="s">
        <v>68</v>
      </c>
      <c r="K15" s="453" t="s">
        <v>80</v>
      </c>
      <c r="L15" s="459"/>
      <c r="M15" s="459"/>
      <c r="N15" s="53"/>
      <c r="O15" s="53"/>
      <c r="P15" s="53"/>
      <c r="Q15" s="53"/>
      <c r="R15" s="171"/>
    </row>
    <row r="16" spans="1:18" s="114" customFormat="1" ht="84" customHeight="1">
      <c r="A16" s="471"/>
      <c r="B16" s="72" t="s">
        <v>539</v>
      </c>
      <c r="C16" s="448"/>
      <c r="D16" s="448"/>
      <c r="E16" s="448"/>
      <c r="F16" s="448"/>
      <c r="G16" s="448"/>
      <c r="H16" s="448"/>
      <c r="I16" s="442" t="s">
        <v>1275</v>
      </c>
      <c r="J16" s="442" t="s">
        <v>68</v>
      </c>
      <c r="K16" s="442" t="s">
        <v>1062</v>
      </c>
      <c r="L16" s="448"/>
      <c r="M16" s="448"/>
      <c r="N16" s="58">
        <v>491.233</v>
      </c>
      <c r="O16" s="58">
        <v>0</v>
      </c>
      <c r="P16" s="58">
        <v>0</v>
      </c>
      <c r="Q16" s="58">
        <v>0</v>
      </c>
      <c r="R16" s="173">
        <v>0</v>
      </c>
    </row>
    <row r="17" spans="1:18" s="115" customFormat="1" ht="14.25" customHeight="1">
      <c r="A17" s="566" t="s">
        <v>603</v>
      </c>
      <c r="B17" s="562" t="s">
        <v>602</v>
      </c>
      <c r="C17" s="39"/>
      <c r="D17" s="39"/>
      <c r="E17" s="39"/>
      <c r="F17" s="40"/>
      <c r="G17" s="40"/>
      <c r="H17" s="40"/>
      <c r="I17" s="2"/>
      <c r="J17" s="2"/>
      <c r="K17" s="2"/>
      <c r="L17" s="40" t="s">
        <v>37</v>
      </c>
      <c r="M17" s="40" t="s">
        <v>40</v>
      </c>
      <c r="N17" s="242">
        <f>SUM(N18:N18)</f>
        <v>2763.0720000000001</v>
      </c>
      <c r="O17" s="242">
        <f t="shared" ref="O17:R17" si="3">SUM(O18:O18)</f>
        <v>2763.0720000000001</v>
      </c>
      <c r="P17" s="242">
        <f t="shared" si="3"/>
        <v>19886.2</v>
      </c>
      <c r="Q17" s="242">
        <f t="shared" si="3"/>
        <v>3216.2</v>
      </c>
      <c r="R17" s="242">
        <f t="shared" si="3"/>
        <v>3216.2</v>
      </c>
    </row>
    <row r="18" spans="1:18" s="114" customFormat="1" ht="109.5" customHeight="1">
      <c r="A18" s="580"/>
      <c r="B18" s="616"/>
      <c r="C18" s="459" t="s">
        <v>56</v>
      </c>
      <c r="D18" s="459" t="s">
        <v>83</v>
      </c>
      <c r="E18" s="459" t="s">
        <v>57</v>
      </c>
      <c r="F18" s="459" t="s">
        <v>31</v>
      </c>
      <c r="G18" s="459" t="s">
        <v>31</v>
      </c>
      <c r="H18" s="459" t="s">
        <v>31</v>
      </c>
      <c r="I18" s="336" t="s">
        <v>723</v>
      </c>
      <c r="J18" s="527" t="s">
        <v>782</v>
      </c>
      <c r="K18" s="527" t="s">
        <v>78</v>
      </c>
      <c r="L18" s="459"/>
      <c r="M18" s="459"/>
      <c r="N18" s="53">
        <v>2763.0720000000001</v>
      </c>
      <c r="O18" s="53">
        <v>2763.0720000000001</v>
      </c>
      <c r="P18" s="53">
        <f>3216.2+16670</f>
        <v>19886.2</v>
      </c>
      <c r="Q18" s="53">
        <v>3216.2</v>
      </c>
      <c r="R18" s="171">
        <v>3216.2</v>
      </c>
    </row>
    <row r="19" spans="1:18" s="115" customFormat="1" ht="13.5" customHeight="1">
      <c r="A19" s="587" t="s">
        <v>604</v>
      </c>
      <c r="B19" s="598">
        <v>1010</v>
      </c>
      <c r="C19" s="69"/>
      <c r="D19" s="69"/>
      <c r="E19" s="69"/>
      <c r="F19" s="69"/>
      <c r="G19" s="69"/>
      <c r="H19" s="69"/>
      <c r="I19" s="12"/>
      <c r="J19" s="226"/>
      <c r="K19" s="226"/>
      <c r="L19" s="493" t="s">
        <v>37</v>
      </c>
      <c r="M19" s="493" t="s">
        <v>40</v>
      </c>
      <c r="N19" s="98">
        <f>SUM(N20:N20)</f>
        <v>3205.1729999999998</v>
      </c>
      <c r="O19" s="98">
        <f>SUM(O20:O20)</f>
        <v>3205.1729999999998</v>
      </c>
      <c r="P19" s="98">
        <f>SUM(P20:P20)</f>
        <v>4586.2</v>
      </c>
      <c r="Q19" s="98">
        <f>SUM(Q20:Q20)</f>
        <v>3356.2</v>
      </c>
      <c r="R19" s="98">
        <f>SUM(R20:R20)</f>
        <v>3356.2</v>
      </c>
    </row>
    <row r="20" spans="1:18" s="114" customFormat="1" ht="59.25" customHeight="1">
      <c r="A20" s="588"/>
      <c r="B20" s="599"/>
      <c r="C20" s="464" t="s">
        <v>56</v>
      </c>
      <c r="D20" s="464" t="s">
        <v>83</v>
      </c>
      <c r="E20" s="464" t="s">
        <v>57</v>
      </c>
      <c r="F20" s="54"/>
      <c r="G20" s="54"/>
      <c r="H20" s="54"/>
      <c r="I20" s="292" t="s">
        <v>1013</v>
      </c>
      <c r="J20" s="487" t="s">
        <v>68</v>
      </c>
      <c r="K20" s="487" t="s">
        <v>1014</v>
      </c>
      <c r="L20" s="464"/>
      <c r="M20" s="464"/>
      <c r="N20" s="47">
        <v>3205.1729999999998</v>
      </c>
      <c r="O20" s="47">
        <v>3205.1729999999998</v>
      </c>
      <c r="P20" s="47">
        <v>4586.2</v>
      </c>
      <c r="Q20" s="47">
        <v>3356.2</v>
      </c>
      <c r="R20" s="47">
        <v>3356.2</v>
      </c>
    </row>
    <row r="21" spans="1:18" s="115" customFormat="1" ht="60" hidden="1" customHeight="1">
      <c r="A21" s="69" t="s">
        <v>605</v>
      </c>
      <c r="B21" s="493">
        <v>1013</v>
      </c>
      <c r="C21" s="491"/>
      <c r="D21" s="491"/>
      <c r="E21" s="491"/>
      <c r="F21" s="491"/>
      <c r="G21" s="99"/>
      <c r="H21" s="189"/>
      <c r="I21" s="178"/>
      <c r="J21" s="11"/>
      <c r="K21" s="11"/>
      <c r="L21" s="493"/>
      <c r="M21" s="493"/>
      <c r="N21" s="69">
        <v>0</v>
      </c>
      <c r="O21" s="69">
        <v>0</v>
      </c>
      <c r="P21" s="69">
        <v>0</v>
      </c>
      <c r="Q21" s="69">
        <v>0</v>
      </c>
      <c r="R21" s="69">
        <v>0</v>
      </c>
    </row>
    <row r="22" spans="1:18" s="115" customFormat="1" ht="108.75" hidden="1" customHeight="1">
      <c r="A22" s="55" t="s">
        <v>606</v>
      </c>
      <c r="B22" s="468">
        <v>1014</v>
      </c>
      <c r="C22" s="459" t="s">
        <v>56</v>
      </c>
      <c r="D22" s="459" t="s">
        <v>345</v>
      </c>
      <c r="E22" s="459" t="s">
        <v>57</v>
      </c>
      <c r="F22" s="459" t="s">
        <v>437</v>
      </c>
      <c r="G22" s="45" t="s">
        <v>68</v>
      </c>
      <c r="H22" s="61" t="s">
        <v>438</v>
      </c>
      <c r="I22" s="33" t="s">
        <v>84</v>
      </c>
      <c r="J22" s="1" t="s">
        <v>68</v>
      </c>
      <c r="K22" s="1" t="s">
        <v>85</v>
      </c>
      <c r="L22" s="468" t="s">
        <v>32</v>
      </c>
      <c r="M22" s="512" t="s">
        <v>26</v>
      </c>
      <c r="N22" s="78">
        <v>0</v>
      </c>
      <c r="O22" s="78">
        <v>0</v>
      </c>
      <c r="P22" s="78">
        <v>0</v>
      </c>
      <c r="Q22" s="78"/>
      <c r="R22" s="78">
        <v>0</v>
      </c>
    </row>
    <row r="23" spans="1:18" s="115" customFormat="1" ht="48">
      <c r="A23" s="39" t="s">
        <v>607</v>
      </c>
      <c r="B23" s="40">
        <v>1015</v>
      </c>
      <c r="C23" s="39"/>
      <c r="D23" s="39"/>
      <c r="E23" s="39"/>
      <c r="F23" s="39"/>
      <c r="G23" s="39"/>
      <c r="H23" s="39"/>
      <c r="I23" s="3"/>
      <c r="J23" s="4"/>
      <c r="K23" s="4"/>
      <c r="L23" s="40"/>
      <c r="M23" s="142"/>
      <c r="N23" s="227">
        <f>SUM(N25:N27)</f>
        <v>530.34300000000007</v>
      </c>
      <c r="O23" s="227">
        <f t="shared" ref="O23:R23" si="4">SUM(O25:O27)</f>
        <v>520.94299999999998</v>
      </c>
      <c r="P23" s="227">
        <f t="shared" si="4"/>
        <v>408.1</v>
      </c>
      <c r="Q23" s="227">
        <f t="shared" si="4"/>
        <v>308.10000000000002</v>
      </c>
      <c r="R23" s="227">
        <f t="shared" si="4"/>
        <v>308.10000000000002</v>
      </c>
    </row>
    <row r="24" spans="1:18" s="115" customFormat="1" ht="12">
      <c r="A24" s="39" t="s">
        <v>97</v>
      </c>
      <c r="B24" s="40"/>
      <c r="C24" s="39"/>
      <c r="D24" s="39"/>
      <c r="E24" s="39"/>
      <c r="F24" s="39"/>
      <c r="G24" s="39"/>
      <c r="H24" s="39"/>
      <c r="I24" s="3"/>
      <c r="J24" s="4"/>
      <c r="K24" s="4"/>
      <c r="L24" s="467"/>
      <c r="M24" s="511"/>
      <c r="N24" s="165"/>
      <c r="O24" s="165"/>
      <c r="P24" s="165"/>
      <c r="Q24" s="165"/>
      <c r="R24" s="165"/>
    </row>
    <row r="25" spans="1:18" s="116" customFormat="1" ht="12" hidden="1">
      <c r="A25" s="41"/>
      <c r="B25" s="42"/>
      <c r="C25" s="41"/>
      <c r="D25" s="41"/>
      <c r="E25" s="41"/>
      <c r="F25" s="41"/>
      <c r="G25" s="41"/>
      <c r="H25" s="41"/>
      <c r="I25" s="5"/>
      <c r="J25" s="6"/>
      <c r="K25" s="118"/>
      <c r="L25" s="87" t="s">
        <v>32</v>
      </c>
      <c r="M25" s="147" t="s">
        <v>26</v>
      </c>
      <c r="N25" s="228">
        <f>N30</f>
        <v>0</v>
      </c>
      <c r="O25" s="228">
        <f>O30</f>
        <v>0</v>
      </c>
      <c r="P25" s="228">
        <f>P30</f>
        <v>0</v>
      </c>
      <c r="Q25" s="228">
        <f>Q30</f>
        <v>0</v>
      </c>
      <c r="R25" s="228">
        <f>R30</f>
        <v>0</v>
      </c>
    </row>
    <row r="26" spans="1:18" s="116" customFormat="1" ht="12">
      <c r="A26" s="82"/>
      <c r="B26" s="44"/>
      <c r="C26" s="82"/>
      <c r="D26" s="82"/>
      <c r="E26" s="82"/>
      <c r="F26" s="82"/>
      <c r="G26" s="82"/>
      <c r="H26" s="82"/>
      <c r="I26" s="120"/>
      <c r="J26" s="121"/>
      <c r="K26" s="122"/>
      <c r="L26" s="123" t="s">
        <v>41</v>
      </c>
      <c r="M26" s="148" t="s">
        <v>38</v>
      </c>
      <c r="N26" s="229">
        <f t="shared" ref="N26:P27" si="5">N28</f>
        <v>211.04300000000001</v>
      </c>
      <c r="O26" s="229">
        <f t="shared" si="5"/>
        <v>201.643</v>
      </c>
      <c r="P26" s="229">
        <f t="shared" si="5"/>
        <v>50</v>
      </c>
      <c r="Q26" s="229">
        <f>Q28</f>
        <v>0</v>
      </c>
      <c r="R26" s="229">
        <f>R28</f>
        <v>0</v>
      </c>
    </row>
    <row r="27" spans="1:18" s="116" customFormat="1" ht="12">
      <c r="A27" s="85"/>
      <c r="B27" s="119"/>
      <c r="C27" s="85"/>
      <c r="D27" s="85"/>
      <c r="E27" s="85"/>
      <c r="F27" s="85"/>
      <c r="G27" s="85"/>
      <c r="H27" s="85"/>
      <c r="I27" s="124"/>
      <c r="J27" s="14"/>
      <c r="K27" s="14"/>
      <c r="L27" s="87" t="s">
        <v>41</v>
      </c>
      <c r="M27" s="147">
        <v>10</v>
      </c>
      <c r="N27" s="230">
        <f t="shared" si="5"/>
        <v>319.3</v>
      </c>
      <c r="O27" s="230">
        <f t="shared" si="5"/>
        <v>319.3</v>
      </c>
      <c r="P27" s="230">
        <f t="shared" si="5"/>
        <v>358.1</v>
      </c>
      <c r="Q27" s="230">
        <f>Q29</f>
        <v>308.10000000000002</v>
      </c>
      <c r="R27" s="230">
        <f>R29</f>
        <v>308.10000000000002</v>
      </c>
    </row>
    <row r="28" spans="1:18" s="114" customFormat="1" ht="61.5" customHeight="1">
      <c r="A28" s="52"/>
      <c r="B28" s="447"/>
      <c r="C28" s="618" t="s">
        <v>92</v>
      </c>
      <c r="D28" s="601" t="s">
        <v>93</v>
      </c>
      <c r="E28" s="601" t="s">
        <v>94</v>
      </c>
      <c r="F28" s="614" t="s">
        <v>95</v>
      </c>
      <c r="G28" s="452" t="s">
        <v>795</v>
      </c>
      <c r="H28" s="452" t="s">
        <v>96</v>
      </c>
      <c r="I28" s="452" t="s">
        <v>86</v>
      </c>
      <c r="J28" s="452" t="s">
        <v>87</v>
      </c>
      <c r="K28" s="513" t="s">
        <v>88</v>
      </c>
      <c r="L28" s="447" t="s">
        <v>41</v>
      </c>
      <c r="M28" s="506" t="s">
        <v>38</v>
      </c>
      <c r="N28" s="63">
        <v>211.04300000000001</v>
      </c>
      <c r="O28" s="63">
        <v>201.643</v>
      </c>
      <c r="P28" s="63">
        <f>15+35</f>
        <v>50</v>
      </c>
      <c r="Q28" s="63">
        <v>0</v>
      </c>
      <c r="R28" s="63">
        <v>0</v>
      </c>
    </row>
    <row r="29" spans="1:18" s="114" customFormat="1" ht="84" customHeight="1">
      <c r="A29" s="45"/>
      <c r="B29" s="459"/>
      <c r="C29" s="619"/>
      <c r="D29" s="602"/>
      <c r="E29" s="602"/>
      <c r="F29" s="551"/>
      <c r="G29" s="293"/>
      <c r="H29" s="293"/>
      <c r="I29" s="449" t="s">
        <v>598</v>
      </c>
      <c r="J29" s="452" t="s">
        <v>89</v>
      </c>
      <c r="K29" s="513" t="s">
        <v>90</v>
      </c>
      <c r="L29" s="509" t="s">
        <v>41</v>
      </c>
      <c r="M29" s="149">
        <v>10</v>
      </c>
      <c r="N29" s="47">
        <v>319.3</v>
      </c>
      <c r="O29" s="47">
        <v>319.3</v>
      </c>
      <c r="P29" s="47">
        <v>358.1</v>
      </c>
      <c r="Q29" s="47">
        <f>150+158.1</f>
        <v>308.10000000000002</v>
      </c>
      <c r="R29" s="47">
        <f>150+158.1</f>
        <v>308.10000000000002</v>
      </c>
    </row>
    <row r="30" spans="1:18" s="114" customFormat="1" ht="72.75" customHeight="1">
      <c r="A30" s="277"/>
      <c r="B30" s="285"/>
      <c r="C30" s="294" t="s">
        <v>56</v>
      </c>
      <c r="D30" s="294" t="s">
        <v>524</v>
      </c>
      <c r="E30" s="294" t="s">
        <v>57</v>
      </c>
      <c r="F30" s="278"/>
      <c r="G30" s="278"/>
      <c r="H30" s="278"/>
      <c r="I30" s="521" t="s">
        <v>1269</v>
      </c>
      <c r="J30" s="521" t="s">
        <v>68</v>
      </c>
      <c r="K30" s="521" t="s">
        <v>134</v>
      </c>
      <c r="L30" s="72"/>
      <c r="M30" s="150"/>
      <c r="N30" s="64"/>
      <c r="O30" s="64"/>
      <c r="P30" s="64"/>
      <c r="Q30" s="64"/>
      <c r="R30" s="64"/>
    </row>
    <row r="31" spans="1:18" s="115" customFormat="1" ht="108.75" hidden="1" customHeight="1">
      <c r="A31" s="55" t="s">
        <v>608</v>
      </c>
      <c r="B31" s="468">
        <v>1018</v>
      </c>
      <c r="C31" s="274" t="s">
        <v>56</v>
      </c>
      <c r="D31" s="275" t="s">
        <v>346</v>
      </c>
      <c r="E31" s="276" t="s">
        <v>57</v>
      </c>
      <c r="F31" s="45" t="s">
        <v>31</v>
      </c>
      <c r="G31" s="45" t="s">
        <v>31</v>
      </c>
      <c r="H31" s="45" t="s">
        <v>31</v>
      </c>
      <c r="I31" s="447" t="s">
        <v>101</v>
      </c>
      <c r="J31" s="447" t="s">
        <v>68</v>
      </c>
      <c r="K31" s="447" t="s">
        <v>100</v>
      </c>
      <c r="L31" s="467" t="s">
        <v>35</v>
      </c>
      <c r="M31" s="511" t="s">
        <v>41</v>
      </c>
      <c r="N31" s="164">
        <v>0</v>
      </c>
      <c r="O31" s="164">
        <v>0</v>
      </c>
      <c r="P31" s="164">
        <v>0</v>
      </c>
      <c r="Q31" s="164">
        <v>0</v>
      </c>
      <c r="R31" s="164">
        <v>0</v>
      </c>
    </row>
    <row r="32" spans="1:18" s="114" customFormat="1" ht="131.25" customHeight="1">
      <c r="A32" s="37" t="s">
        <v>609</v>
      </c>
      <c r="B32" s="467">
        <v>1019</v>
      </c>
      <c r="C32" s="17"/>
      <c r="D32" s="18"/>
      <c r="E32" s="19"/>
      <c r="F32" s="37" t="s">
        <v>31</v>
      </c>
      <c r="G32" s="37" t="s">
        <v>31</v>
      </c>
      <c r="H32" s="37" t="s">
        <v>31</v>
      </c>
      <c r="I32" s="37" t="s">
        <v>31</v>
      </c>
      <c r="J32" s="37" t="s">
        <v>31</v>
      </c>
      <c r="K32" s="37" t="s">
        <v>31</v>
      </c>
      <c r="L32" s="467"/>
      <c r="M32" s="511"/>
      <c r="N32" s="164">
        <f>SUM(N34:N35)</f>
        <v>137607.72400000002</v>
      </c>
      <c r="O32" s="164">
        <f t="shared" ref="O32:R32" si="6">SUM(O34:O35)</f>
        <v>137505.326</v>
      </c>
      <c r="P32" s="164">
        <f t="shared" si="6"/>
        <v>141214.46299999999</v>
      </c>
      <c r="Q32" s="164">
        <f t="shared" si="6"/>
        <v>108174.33500000001</v>
      </c>
      <c r="R32" s="164">
        <f t="shared" si="6"/>
        <v>107566.5</v>
      </c>
    </row>
    <row r="33" spans="1:18" s="114" customFormat="1" ht="13.5" customHeight="1">
      <c r="A33" s="69" t="s">
        <v>97</v>
      </c>
      <c r="B33" s="493"/>
      <c r="C33" s="205"/>
      <c r="D33" s="205"/>
      <c r="E33" s="205"/>
      <c r="F33" s="69"/>
      <c r="G33" s="69"/>
      <c r="H33" s="69"/>
      <c r="I33" s="69"/>
      <c r="J33" s="69"/>
      <c r="K33" s="69"/>
      <c r="L33" s="493"/>
      <c r="M33" s="493"/>
      <c r="N33" s="98"/>
      <c r="O33" s="98"/>
      <c r="P33" s="98"/>
      <c r="Q33" s="98"/>
      <c r="R33" s="98"/>
    </row>
    <row r="34" spans="1:18" s="116" customFormat="1" ht="13.5" customHeight="1">
      <c r="A34" s="85"/>
      <c r="B34" s="119"/>
      <c r="C34" s="214"/>
      <c r="D34" s="214"/>
      <c r="E34" s="214"/>
      <c r="F34" s="85"/>
      <c r="G34" s="85"/>
      <c r="H34" s="85"/>
      <c r="I34" s="85"/>
      <c r="J34" s="85"/>
      <c r="K34" s="85"/>
      <c r="L34" s="87" t="s">
        <v>43</v>
      </c>
      <c r="M34" s="87" t="s">
        <v>32</v>
      </c>
      <c r="N34" s="230">
        <f>N36+N38+N39</f>
        <v>106543.37800000001</v>
      </c>
      <c r="O34" s="230">
        <f t="shared" ref="O34" si="7">O36+O38+O39</f>
        <v>106524.37800000001</v>
      </c>
      <c r="P34" s="230">
        <f>P36+P38+P39+P41+P42+P43+P44+P45</f>
        <v>108757.363</v>
      </c>
      <c r="Q34" s="230">
        <f t="shared" ref="Q34:R34" si="8">Q36+Q38+Q39+Q41+Q42+Q43+Q44+Q45</f>
        <v>75932.835000000006</v>
      </c>
      <c r="R34" s="230">
        <f t="shared" si="8"/>
        <v>75325</v>
      </c>
    </row>
    <row r="35" spans="1:18" s="116" customFormat="1" ht="13.5" customHeight="1">
      <c r="A35" s="85"/>
      <c r="B35" s="119"/>
      <c r="C35" s="214"/>
      <c r="D35" s="214"/>
      <c r="E35" s="214"/>
      <c r="F35" s="85"/>
      <c r="G35" s="85"/>
      <c r="H35" s="85"/>
      <c r="I35" s="85"/>
      <c r="J35" s="85"/>
      <c r="K35" s="85"/>
      <c r="L35" s="87" t="s">
        <v>43</v>
      </c>
      <c r="M35" s="87" t="s">
        <v>36</v>
      </c>
      <c r="N35" s="230">
        <f>N37</f>
        <v>31064.346000000001</v>
      </c>
      <c r="O35" s="230">
        <f t="shared" ref="O35:P35" si="9">O37</f>
        <v>30980.948</v>
      </c>
      <c r="P35" s="230">
        <f t="shared" si="9"/>
        <v>32457.1</v>
      </c>
      <c r="Q35" s="230">
        <f t="shared" ref="Q35:R35" si="10">Q37</f>
        <v>32241.5</v>
      </c>
      <c r="R35" s="230">
        <f t="shared" si="10"/>
        <v>32241.5</v>
      </c>
    </row>
    <row r="36" spans="1:18" s="203" customFormat="1" ht="42" customHeight="1">
      <c r="A36" s="611" t="s">
        <v>704</v>
      </c>
      <c r="B36" s="612"/>
      <c r="C36" s="555" t="s">
        <v>355</v>
      </c>
      <c r="D36" s="555" t="s">
        <v>349</v>
      </c>
      <c r="E36" s="555" t="s">
        <v>60</v>
      </c>
      <c r="F36" s="555" t="s">
        <v>353</v>
      </c>
      <c r="G36" s="555" t="s">
        <v>328</v>
      </c>
      <c r="H36" s="555" t="s">
        <v>227</v>
      </c>
      <c r="I36" s="555" t="s">
        <v>329</v>
      </c>
      <c r="J36" s="555" t="s">
        <v>68</v>
      </c>
      <c r="K36" s="617" t="s">
        <v>116</v>
      </c>
      <c r="L36" s="100" t="s">
        <v>43</v>
      </c>
      <c r="M36" s="100" t="s">
        <v>32</v>
      </c>
      <c r="N36" s="110">
        <f>72551.588+4657.49</f>
        <v>77209.078000000009</v>
      </c>
      <c r="O36" s="110">
        <f>72551.588+4657.49</f>
        <v>77209.078000000009</v>
      </c>
      <c r="P36" s="110">
        <f>76015.3+905.715</f>
        <v>76921.014999999999</v>
      </c>
      <c r="Q36" s="110">
        <v>75325</v>
      </c>
      <c r="R36" s="110">
        <v>75325</v>
      </c>
    </row>
    <row r="37" spans="1:18" s="203" customFormat="1" ht="42" customHeight="1">
      <c r="A37" s="611"/>
      <c r="B37" s="612"/>
      <c r="C37" s="555"/>
      <c r="D37" s="555"/>
      <c r="E37" s="555"/>
      <c r="F37" s="555"/>
      <c r="G37" s="555"/>
      <c r="H37" s="555"/>
      <c r="I37" s="555"/>
      <c r="J37" s="555"/>
      <c r="K37" s="617"/>
      <c r="L37" s="100" t="s">
        <v>43</v>
      </c>
      <c r="M37" s="100" t="s">
        <v>36</v>
      </c>
      <c r="N37" s="110">
        <v>31064.346000000001</v>
      </c>
      <c r="O37" s="110">
        <v>30980.948</v>
      </c>
      <c r="P37" s="110">
        <v>32457.1</v>
      </c>
      <c r="Q37" s="110">
        <v>32241.5</v>
      </c>
      <c r="R37" s="110">
        <v>32241.5</v>
      </c>
    </row>
    <row r="38" spans="1:18" s="114" customFormat="1" ht="71.25" customHeight="1">
      <c r="A38" s="54" t="s">
        <v>705</v>
      </c>
      <c r="B38" s="519"/>
      <c r="C38" s="449"/>
      <c r="D38" s="449"/>
      <c r="E38" s="449"/>
      <c r="F38" s="449"/>
      <c r="G38" s="449"/>
      <c r="H38" s="449"/>
      <c r="I38" s="449" t="s">
        <v>724</v>
      </c>
      <c r="J38" s="449" t="s">
        <v>133</v>
      </c>
      <c r="K38" s="449" t="s">
        <v>134</v>
      </c>
      <c r="L38" s="138" t="s">
        <v>43</v>
      </c>
      <c r="M38" s="157" t="s">
        <v>32</v>
      </c>
      <c r="N38" s="381">
        <v>1999</v>
      </c>
      <c r="O38" s="381">
        <v>1999</v>
      </c>
      <c r="P38" s="381">
        <v>220</v>
      </c>
      <c r="Q38" s="381">
        <v>0</v>
      </c>
      <c r="R38" s="381">
        <v>0</v>
      </c>
    </row>
    <row r="39" spans="1:18" s="203" customFormat="1" ht="120.75" customHeight="1">
      <c r="A39" s="101" t="s">
        <v>706</v>
      </c>
      <c r="B39" s="518" t="s">
        <v>337</v>
      </c>
      <c r="C39" s="440"/>
      <c r="D39" s="440"/>
      <c r="E39" s="440"/>
      <c r="F39" s="541" t="s">
        <v>526</v>
      </c>
      <c r="G39" s="421" t="s">
        <v>89</v>
      </c>
      <c r="H39" s="421" t="s">
        <v>527</v>
      </c>
      <c r="I39" s="440" t="s">
        <v>939</v>
      </c>
      <c r="J39" s="440" t="s">
        <v>68</v>
      </c>
      <c r="K39" s="504" t="s">
        <v>478</v>
      </c>
      <c r="L39" s="518" t="s">
        <v>43</v>
      </c>
      <c r="M39" s="518" t="s">
        <v>32</v>
      </c>
      <c r="N39" s="88">
        <v>27335.3</v>
      </c>
      <c r="O39" s="88">
        <v>27316.3</v>
      </c>
      <c r="P39" s="88">
        <v>0</v>
      </c>
      <c r="Q39" s="88">
        <v>0</v>
      </c>
      <c r="R39" s="88">
        <v>0</v>
      </c>
    </row>
    <row r="40" spans="1:18" s="203" customFormat="1" ht="51.75" customHeight="1">
      <c r="A40" s="54"/>
      <c r="B40" s="519"/>
      <c r="C40" s="449"/>
      <c r="D40" s="449"/>
      <c r="E40" s="449"/>
      <c r="F40" s="539"/>
      <c r="G40" s="295"/>
      <c r="H40" s="295"/>
      <c r="I40" s="464" t="s">
        <v>91</v>
      </c>
      <c r="J40" s="464" t="s">
        <v>68</v>
      </c>
      <c r="K40" s="464" t="s">
        <v>71</v>
      </c>
      <c r="L40" s="519"/>
      <c r="M40" s="519"/>
      <c r="N40" s="89"/>
      <c r="O40" s="89"/>
      <c r="P40" s="89"/>
      <c r="Q40" s="89"/>
      <c r="R40" s="89"/>
    </row>
    <row r="41" spans="1:18" s="203" customFormat="1" ht="96" customHeight="1">
      <c r="A41" s="54" t="s">
        <v>1188</v>
      </c>
      <c r="B41" s="519" t="s">
        <v>1190</v>
      </c>
      <c r="C41" s="449"/>
      <c r="D41" s="449"/>
      <c r="E41" s="449"/>
      <c r="F41" s="295"/>
      <c r="G41" s="295"/>
      <c r="H41" s="295"/>
      <c r="I41" s="540" t="s">
        <v>1381</v>
      </c>
      <c r="J41" s="464" t="s">
        <v>68</v>
      </c>
      <c r="K41" s="464" t="s">
        <v>1382</v>
      </c>
      <c r="L41" s="519" t="s">
        <v>43</v>
      </c>
      <c r="M41" s="519" t="s">
        <v>32</v>
      </c>
      <c r="N41" s="89">
        <v>0</v>
      </c>
      <c r="O41" s="89">
        <v>0</v>
      </c>
      <c r="P41" s="89">
        <v>30000</v>
      </c>
      <c r="Q41" s="89">
        <v>0</v>
      </c>
      <c r="R41" s="89">
        <v>0</v>
      </c>
    </row>
    <row r="42" spans="1:18" s="203" customFormat="1" ht="11.25" customHeight="1">
      <c r="A42" s="54"/>
      <c r="B42" s="519"/>
      <c r="C42" s="449"/>
      <c r="D42" s="449"/>
      <c r="E42" s="449"/>
      <c r="F42" s="295"/>
      <c r="G42" s="295"/>
      <c r="H42" s="295"/>
      <c r="I42" s="540"/>
      <c r="J42" s="464"/>
      <c r="K42" s="464"/>
      <c r="L42" s="519"/>
      <c r="M42" s="519"/>
      <c r="N42" s="89">
        <v>0</v>
      </c>
      <c r="O42" s="89">
        <v>0</v>
      </c>
      <c r="P42" s="89">
        <v>30</v>
      </c>
      <c r="Q42" s="89">
        <v>0</v>
      </c>
      <c r="R42" s="89">
        <v>0</v>
      </c>
    </row>
    <row r="43" spans="1:18" s="203" customFormat="1" ht="61.5" customHeight="1">
      <c r="A43" s="54" t="s">
        <v>1189</v>
      </c>
      <c r="B43" s="519" t="s">
        <v>1191</v>
      </c>
      <c r="C43" s="449"/>
      <c r="D43" s="449"/>
      <c r="E43" s="449"/>
      <c r="F43" s="539" t="s">
        <v>1364</v>
      </c>
      <c r="G43" s="295" t="s">
        <v>1365</v>
      </c>
      <c r="H43" s="539" t="s">
        <v>1345</v>
      </c>
      <c r="I43" s="540" t="s">
        <v>1463</v>
      </c>
      <c r="J43" s="540" t="s">
        <v>68</v>
      </c>
      <c r="K43" s="540" t="s">
        <v>1388</v>
      </c>
      <c r="L43" s="519" t="s">
        <v>43</v>
      </c>
      <c r="M43" s="519" t="s">
        <v>32</v>
      </c>
      <c r="N43" s="89">
        <v>0</v>
      </c>
      <c r="O43" s="89">
        <v>0</v>
      </c>
      <c r="P43" s="89">
        <v>399.00799999999998</v>
      </c>
      <c r="Q43" s="89">
        <v>589.6</v>
      </c>
      <c r="R43" s="89">
        <v>0</v>
      </c>
    </row>
    <row r="44" spans="1:18" s="203" customFormat="1" ht="72.75" customHeight="1">
      <c r="A44" s="54" t="s">
        <v>1192</v>
      </c>
      <c r="B44" s="519" t="s">
        <v>1193</v>
      </c>
      <c r="C44" s="449"/>
      <c r="D44" s="449"/>
      <c r="E44" s="449"/>
      <c r="F44" s="539"/>
      <c r="G44" s="295"/>
      <c r="H44" s="539"/>
      <c r="I44" s="540"/>
      <c r="J44" s="540"/>
      <c r="K44" s="540"/>
      <c r="L44" s="519" t="s">
        <v>43</v>
      </c>
      <c r="M44" s="519" t="s">
        <v>32</v>
      </c>
      <c r="N44" s="89">
        <v>0</v>
      </c>
      <c r="O44" s="89">
        <v>0</v>
      </c>
      <c r="P44" s="89">
        <v>12.34</v>
      </c>
      <c r="Q44" s="89">
        <v>18.234999999999999</v>
      </c>
      <c r="R44" s="89">
        <v>0</v>
      </c>
    </row>
    <row r="45" spans="1:18" s="203" customFormat="1" ht="62.25" customHeight="1">
      <c r="A45" s="54" t="s">
        <v>1399</v>
      </c>
      <c r="B45" s="519" t="s">
        <v>1400</v>
      </c>
      <c r="C45" s="449"/>
      <c r="D45" s="449"/>
      <c r="E45" s="449"/>
      <c r="F45" s="449"/>
      <c r="G45" s="295"/>
      <c r="H45" s="449"/>
      <c r="I45" s="501" t="s">
        <v>91</v>
      </c>
      <c r="J45" s="501" t="s">
        <v>68</v>
      </c>
      <c r="K45" s="501" t="s">
        <v>71</v>
      </c>
      <c r="L45" s="519" t="s">
        <v>43</v>
      </c>
      <c r="M45" s="519" t="s">
        <v>32</v>
      </c>
      <c r="N45" s="89">
        <v>0</v>
      </c>
      <c r="O45" s="89">
        <v>0</v>
      </c>
      <c r="P45" s="89">
        <v>1175</v>
      </c>
      <c r="Q45" s="89">
        <v>0</v>
      </c>
      <c r="R45" s="89">
        <v>0</v>
      </c>
    </row>
    <row r="46" spans="1:18" s="114" customFormat="1" ht="26.25" hidden="1" customHeight="1">
      <c r="A46" s="54" t="s">
        <v>1398</v>
      </c>
      <c r="B46" s="519"/>
      <c r="C46" s="464"/>
      <c r="D46" s="464"/>
      <c r="E46" s="464"/>
      <c r="F46" s="295"/>
      <c r="G46" s="295"/>
      <c r="H46" s="295"/>
      <c r="I46" s="464"/>
      <c r="J46" s="464"/>
      <c r="K46" s="464"/>
      <c r="L46" s="519"/>
      <c r="M46" s="519"/>
      <c r="N46" s="89"/>
      <c r="O46" s="89"/>
      <c r="P46" s="89"/>
      <c r="Q46" s="89"/>
      <c r="R46" s="89"/>
    </row>
    <row r="47" spans="1:18" s="114" customFormat="1" ht="12" hidden="1" customHeight="1">
      <c r="A47" s="54" t="s">
        <v>97</v>
      </c>
      <c r="B47" s="519"/>
      <c r="C47" s="464"/>
      <c r="D47" s="464"/>
      <c r="E47" s="464"/>
      <c r="F47" s="295"/>
      <c r="G47" s="295"/>
      <c r="H47" s="295"/>
      <c r="I47" s="464"/>
      <c r="J47" s="464"/>
      <c r="K47" s="464"/>
      <c r="L47" s="519"/>
      <c r="M47" s="519"/>
      <c r="N47" s="89"/>
      <c r="O47" s="89"/>
      <c r="P47" s="89"/>
      <c r="Q47" s="89"/>
      <c r="R47" s="89"/>
    </row>
    <row r="48" spans="1:18" s="114" customFormat="1" ht="12" hidden="1" customHeight="1">
      <c r="A48" s="327"/>
      <c r="B48" s="238"/>
      <c r="C48" s="431"/>
      <c r="D48" s="431"/>
      <c r="E48" s="431"/>
      <c r="F48" s="422"/>
      <c r="G48" s="422"/>
      <c r="H48" s="422"/>
      <c r="I48" s="431"/>
      <c r="J48" s="431"/>
      <c r="K48" s="431"/>
      <c r="L48" s="238"/>
      <c r="M48" s="238"/>
      <c r="N48" s="90"/>
      <c r="O48" s="90"/>
      <c r="P48" s="90"/>
      <c r="Q48" s="90"/>
      <c r="R48" s="90"/>
    </row>
    <row r="49" spans="1:18" s="114" customFormat="1" ht="146.25" customHeight="1">
      <c r="A49" s="231" t="s">
        <v>610</v>
      </c>
      <c r="B49" s="176" t="s">
        <v>386</v>
      </c>
      <c r="C49" s="232"/>
      <c r="D49" s="232"/>
      <c r="E49" s="232"/>
      <c r="F49" s="232"/>
      <c r="G49" s="232"/>
      <c r="H49" s="233"/>
      <c r="I49" s="232"/>
      <c r="J49" s="232"/>
      <c r="K49" s="233"/>
      <c r="L49" s="234"/>
      <c r="M49" s="234"/>
      <c r="N49" s="241">
        <f t="shared" ref="N49:O49" si="11">SUM(N50:N77)</f>
        <v>39970.099999999991</v>
      </c>
      <c r="O49" s="241">
        <f t="shared" si="11"/>
        <v>34926.001999999986</v>
      </c>
      <c r="P49" s="241">
        <f>SUM(P50:P77)</f>
        <v>66609.446500000005</v>
      </c>
      <c r="Q49" s="241">
        <f t="shared" ref="Q49:R49" si="12">SUM(Q50:Q77)</f>
        <v>35667.485000000001</v>
      </c>
      <c r="R49" s="241">
        <f t="shared" si="12"/>
        <v>29669.166000000005</v>
      </c>
    </row>
    <row r="50" spans="1:18" s="203" customFormat="1" ht="156" customHeight="1">
      <c r="A50" s="609" t="s">
        <v>726</v>
      </c>
      <c r="B50" s="610"/>
      <c r="C50" s="440" t="s">
        <v>355</v>
      </c>
      <c r="D50" s="440" t="s">
        <v>347</v>
      </c>
      <c r="E50" s="440" t="s">
        <v>60</v>
      </c>
      <c r="F50" s="440" t="s">
        <v>353</v>
      </c>
      <c r="G50" s="440" t="s">
        <v>348</v>
      </c>
      <c r="H50" s="440" t="s">
        <v>227</v>
      </c>
      <c r="I50" s="449" t="s">
        <v>877</v>
      </c>
      <c r="J50" s="449" t="s">
        <v>68</v>
      </c>
      <c r="K50" s="449" t="s">
        <v>444</v>
      </c>
      <c r="L50" s="518" t="s">
        <v>43</v>
      </c>
      <c r="M50" s="480" t="s">
        <v>36</v>
      </c>
      <c r="N50" s="88">
        <f>21816.468+6207.928</f>
        <v>28024.396000000001</v>
      </c>
      <c r="O50" s="88">
        <f>21813.301+2133.926</f>
        <v>23947.226999999999</v>
      </c>
      <c r="P50" s="88">
        <f>24293.893+6146.708</f>
        <v>30440.600999999999</v>
      </c>
      <c r="Q50" s="88">
        <v>22297.544999999998</v>
      </c>
      <c r="R50" s="88">
        <v>22297.45</v>
      </c>
    </row>
    <row r="51" spans="1:18" s="203" customFormat="1" ht="60">
      <c r="A51" s="546"/>
      <c r="B51" s="565"/>
      <c r="C51" s="223"/>
      <c r="D51" s="223"/>
      <c r="E51" s="223"/>
      <c r="F51" s="206"/>
      <c r="G51" s="206"/>
      <c r="H51" s="206"/>
      <c r="I51" s="464" t="s">
        <v>323</v>
      </c>
      <c r="J51" s="464" t="s">
        <v>68</v>
      </c>
      <c r="K51" s="464" t="s">
        <v>332</v>
      </c>
      <c r="L51" s="204"/>
      <c r="M51" s="207"/>
      <c r="N51" s="208"/>
      <c r="O51" s="208"/>
      <c r="P51" s="208"/>
      <c r="Q51" s="208"/>
      <c r="R51" s="208"/>
    </row>
    <row r="52" spans="1:18" s="203" customFormat="1" ht="60">
      <c r="A52" s="546"/>
      <c r="B52" s="565"/>
      <c r="C52" s="449" t="s">
        <v>354</v>
      </c>
      <c r="D52" s="449" t="s">
        <v>725</v>
      </c>
      <c r="E52" s="449" t="s">
        <v>525</v>
      </c>
      <c r="F52" s="206"/>
      <c r="G52" s="206"/>
      <c r="H52" s="206"/>
      <c r="I52" s="464" t="s">
        <v>515</v>
      </c>
      <c r="J52" s="464" t="s">
        <v>68</v>
      </c>
      <c r="K52" s="464" t="s">
        <v>516</v>
      </c>
      <c r="L52" s="460"/>
      <c r="M52" s="202"/>
      <c r="N52" s="208"/>
      <c r="O52" s="208"/>
      <c r="P52" s="208"/>
      <c r="Q52" s="208"/>
      <c r="R52" s="208"/>
    </row>
    <row r="53" spans="1:18" s="203" customFormat="1" ht="48">
      <c r="A53" s="224"/>
      <c r="B53" s="460"/>
      <c r="C53" s="449"/>
      <c r="D53" s="449"/>
      <c r="E53" s="449"/>
      <c r="F53" s="449"/>
      <c r="G53" s="449"/>
      <c r="H53" s="449"/>
      <c r="I53" s="449" t="s">
        <v>91</v>
      </c>
      <c r="J53" s="449" t="s">
        <v>68</v>
      </c>
      <c r="K53" s="450" t="s">
        <v>71</v>
      </c>
      <c r="L53" s="460"/>
      <c r="M53" s="460"/>
      <c r="N53" s="208"/>
      <c r="O53" s="208"/>
      <c r="P53" s="208"/>
      <c r="Q53" s="208"/>
      <c r="R53" s="208"/>
    </row>
    <row r="54" spans="1:18" s="114" customFormat="1" ht="48.75" customHeight="1">
      <c r="A54" s="546" t="s">
        <v>707</v>
      </c>
      <c r="B54" s="519"/>
      <c r="C54" s="449" t="s">
        <v>354</v>
      </c>
      <c r="D54" s="449" t="s">
        <v>849</v>
      </c>
      <c r="E54" s="449" t="s">
        <v>525</v>
      </c>
      <c r="F54" s="539" t="s">
        <v>325</v>
      </c>
      <c r="G54" s="539" t="s">
        <v>326</v>
      </c>
      <c r="H54" s="539" t="s">
        <v>308</v>
      </c>
      <c r="I54" s="539" t="s">
        <v>1440</v>
      </c>
      <c r="J54" s="539" t="s">
        <v>68</v>
      </c>
      <c r="K54" s="603" t="s">
        <v>1036</v>
      </c>
      <c r="L54" s="100" t="s">
        <v>43</v>
      </c>
      <c r="M54" s="100" t="s">
        <v>36</v>
      </c>
      <c r="N54" s="110">
        <v>739.99400000000003</v>
      </c>
      <c r="O54" s="110">
        <v>739.99400000000003</v>
      </c>
      <c r="P54" s="110">
        <v>1676.55</v>
      </c>
      <c r="Q54" s="110">
        <v>1661.4</v>
      </c>
      <c r="R54" s="110">
        <v>1661.4</v>
      </c>
    </row>
    <row r="55" spans="1:18" s="114" customFormat="1" ht="34.5" customHeight="1">
      <c r="A55" s="546"/>
      <c r="B55" s="519" t="s">
        <v>327</v>
      </c>
      <c r="C55" s="449"/>
      <c r="D55" s="449"/>
      <c r="E55" s="449"/>
      <c r="F55" s="539"/>
      <c r="G55" s="539"/>
      <c r="H55" s="539"/>
      <c r="I55" s="539"/>
      <c r="J55" s="539"/>
      <c r="K55" s="603"/>
      <c r="L55" s="100" t="s">
        <v>43</v>
      </c>
      <c r="M55" s="100" t="s">
        <v>36</v>
      </c>
      <c r="N55" s="89">
        <v>4119.2430000000004</v>
      </c>
      <c r="O55" s="89">
        <v>3576.7939999999999</v>
      </c>
      <c r="P55" s="89">
        <v>2991</v>
      </c>
      <c r="Q55" s="89">
        <v>3906.65</v>
      </c>
      <c r="R55" s="89">
        <v>3906.65</v>
      </c>
    </row>
    <row r="56" spans="1:18" s="203" customFormat="1" ht="96.75" customHeight="1">
      <c r="A56" s="54" t="s">
        <v>818</v>
      </c>
      <c r="B56" s="519" t="s">
        <v>489</v>
      </c>
      <c r="C56" s="449" t="s">
        <v>354</v>
      </c>
      <c r="D56" s="449" t="s">
        <v>342</v>
      </c>
      <c r="E56" s="449" t="s">
        <v>324</v>
      </c>
      <c r="F56" s="449" t="s">
        <v>805</v>
      </c>
      <c r="G56" s="449" t="s">
        <v>70</v>
      </c>
      <c r="H56" s="449" t="s">
        <v>806</v>
      </c>
      <c r="I56" s="449" t="s">
        <v>1449</v>
      </c>
      <c r="J56" s="449" t="s">
        <v>68</v>
      </c>
      <c r="K56" s="450" t="s">
        <v>924</v>
      </c>
      <c r="L56" s="236" t="s">
        <v>43</v>
      </c>
      <c r="M56" s="237" t="s">
        <v>36</v>
      </c>
      <c r="N56" s="110">
        <v>863.7</v>
      </c>
      <c r="O56" s="110">
        <v>863.7</v>
      </c>
      <c r="P56" s="110">
        <v>857.8</v>
      </c>
      <c r="Q56" s="110">
        <v>857.8</v>
      </c>
      <c r="R56" s="110">
        <v>857.8</v>
      </c>
    </row>
    <row r="57" spans="1:18" s="203" customFormat="1" ht="111" customHeight="1">
      <c r="A57" s="54" t="s">
        <v>819</v>
      </c>
      <c r="B57" s="519" t="s">
        <v>338</v>
      </c>
      <c r="C57" s="449" t="s">
        <v>354</v>
      </c>
      <c r="D57" s="449" t="s">
        <v>339</v>
      </c>
      <c r="E57" s="449" t="s">
        <v>341</v>
      </c>
      <c r="F57" s="449" t="s">
        <v>807</v>
      </c>
      <c r="G57" s="450" t="s">
        <v>808</v>
      </c>
      <c r="H57" s="449" t="s">
        <v>308</v>
      </c>
      <c r="I57" s="449" t="s">
        <v>850</v>
      </c>
      <c r="J57" s="449" t="s">
        <v>68</v>
      </c>
      <c r="K57" s="450" t="s">
        <v>440</v>
      </c>
      <c r="L57" s="76" t="s">
        <v>43</v>
      </c>
      <c r="M57" s="156" t="s">
        <v>36</v>
      </c>
      <c r="N57" s="125">
        <v>1123.0999999999999</v>
      </c>
      <c r="O57" s="125">
        <v>960</v>
      </c>
      <c r="P57" s="125">
        <v>0</v>
      </c>
      <c r="Q57" s="125">
        <v>0</v>
      </c>
      <c r="R57" s="125">
        <v>0</v>
      </c>
    </row>
    <row r="58" spans="1:18" s="203" customFormat="1" ht="144" customHeight="1">
      <c r="A58" s="54" t="s">
        <v>820</v>
      </c>
      <c r="B58" s="519" t="s">
        <v>340</v>
      </c>
      <c r="C58" s="449" t="s">
        <v>354</v>
      </c>
      <c r="D58" s="449" t="s">
        <v>339</v>
      </c>
      <c r="E58" s="449" t="s">
        <v>324</v>
      </c>
      <c r="F58" s="449" t="s">
        <v>809</v>
      </c>
      <c r="G58" s="450" t="s">
        <v>68</v>
      </c>
      <c r="H58" s="449" t="s">
        <v>428</v>
      </c>
      <c r="I58" s="449" t="s">
        <v>449</v>
      </c>
      <c r="J58" s="449" t="s">
        <v>68</v>
      </c>
      <c r="K58" s="450" t="s">
        <v>118</v>
      </c>
      <c r="L58" s="76" t="s">
        <v>43</v>
      </c>
      <c r="M58" s="156" t="s">
        <v>36</v>
      </c>
      <c r="N58" s="125">
        <v>618</v>
      </c>
      <c r="O58" s="125">
        <v>443</v>
      </c>
      <c r="P58" s="125">
        <v>699.66600000000005</v>
      </c>
      <c r="Q58" s="125">
        <v>699.66600000000005</v>
      </c>
      <c r="R58" s="125">
        <v>699.66600000000005</v>
      </c>
    </row>
    <row r="59" spans="1:18" s="203" customFormat="1" ht="42.75" customHeight="1">
      <c r="A59" s="546" t="s">
        <v>892</v>
      </c>
      <c r="B59" s="519" t="s">
        <v>891</v>
      </c>
      <c r="C59" s="449"/>
      <c r="D59" s="449"/>
      <c r="E59" s="449"/>
      <c r="F59" s="449"/>
      <c r="G59" s="450"/>
      <c r="H59" s="449"/>
      <c r="I59" s="539" t="s">
        <v>1259</v>
      </c>
      <c r="J59" s="539" t="s">
        <v>68</v>
      </c>
      <c r="K59" s="603" t="s">
        <v>1260</v>
      </c>
      <c r="L59" s="519" t="s">
        <v>43</v>
      </c>
      <c r="M59" s="519" t="s">
        <v>36</v>
      </c>
      <c r="N59" s="89">
        <v>1457.9190000000001</v>
      </c>
      <c r="O59" s="89">
        <v>1457.9190000000001</v>
      </c>
      <c r="P59" s="89">
        <f>3250.626/2</f>
        <v>1625.3130000000001</v>
      </c>
      <c r="Q59" s="89">
        <v>0</v>
      </c>
      <c r="R59" s="89">
        <v>0</v>
      </c>
    </row>
    <row r="60" spans="1:18" s="203" customFormat="1" ht="42.75" customHeight="1">
      <c r="A60" s="546"/>
      <c r="B60" s="519" t="s">
        <v>887</v>
      </c>
      <c r="C60" s="449"/>
      <c r="D60" s="449"/>
      <c r="E60" s="449"/>
      <c r="F60" s="449"/>
      <c r="G60" s="450"/>
      <c r="H60" s="449"/>
      <c r="I60" s="539"/>
      <c r="J60" s="539"/>
      <c r="K60" s="603"/>
      <c r="L60" s="519" t="s">
        <v>43</v>
      </c>
      <c r="M60" s="519" t="s">
        <v>36</v>
      </c>
      <c r="N60" s="89">
        <v>45.090499999999999</v>
      </c>
      <c r="O60" s="89">
        <v>45.090499999999999</v>
      </c>
      <c r="P60" s="89">
        <f>100.535/2</f>
        <v>50.267499999999998</v>
      </c>
      <c r="Q60" s="89">
        <v>0</v>
      </c>
      <c r="R60" s="89">
        <v>0</v>
      </c>
    </row>
    <row r="61" spans="1:18" s="203" customFormat="1" ht="45" customHeight="1">
      <c r="A61" s="546" t="s">
        <v>888</v>
      </c>
      <c r="B61" s="519" t="s">
        <v>889</v>
      </c>
      <c r="C61" s="449"/>
      <c r="D61" s="449"/>
      <c r="E61" s="449"/>
      <c r="F61" s="449"/>
      <c r="G61" s="450"/>
      <c r="H61" s="449"/>
      <c r="I61" s="539" t="s">
        <v>1063</v>
      </c>
      <c r="J61" s="539" t="s">
        <v>68</v>
      </c>
      <c r="K61" s="603" t="s">
        <v>934</v>
      </c>
      <c r="L61" s="519" t="s">
        <v>43</v>
      </c>
      <c r="M61" s="519" t="s">
        <v>36</v>
      </c>
      <c r="N61" s="89">
        <v>1193.3844999999999</v>
      </c>
      <c r="O61" s="89">
        <v>1193.3844999999999</v>
      </c>
      <c r="P61" s="89">
        <f>8799.021/2</f>
        <v>4399.5105000000003</v>
      </c>
      <c r="Q61" s="89">
        <f>10356.094/2</f>
        <v>5178.0469999999996</v>
      </c>
      <c r="R61" s="89">
        <v>0</v>
      </c>
    </row>
    <row r="62" spans="1:18" s="203" customFormat="1" ht="39" customHeight="1">
      <c r="A62" s="546"/>
      <c r="B62" s="519" t="s">
        <v>890</v>
      </c>
      <c r="C62" s="449"/>
      <c r="D62" s="449"/>
      <c r="E62" s="449"/>
      <c r="F62" s="449"/>
      <c r="G62" s="450"/>
      <c r="H62" s="449"/>
      <c r="I62" s="539"/>
      <c r="J62" s="539"/>
      <c r="K62" s="603"/>
      <c r="L62" s="519" t="s">
        <v>43</v>
      </c>
      <c r="M62" s="154" t="s">
        <v>36</v>
      </c>
      <c r="N62" s="89">
        <v>36.908999999999999</v>
      </c>
      <c r="O62" s="89">
        <v>36.908999999999999</v>
      </c>
      <c r="P62" s="89">
        <f>272.135/2</f>
        <v>136.0675</v>
      </c>
      <c r="Q62" s="89">
        <f>320.292/2</f>
        <v>160.14599999999999</v>
      </c>
      <c r="R62" s="89">
        <v>0</v>
      </c>
    </row>
    <row r="63" spans="1:18" s="203" customFormat="1" ht="63" customHeight="1">
      <c r="A63" s="445" t="s">
        <v>975</v>
      </c>
      <c r="B63" s="519" t="s">
        <v>976</v>
      </c>
      <c r="C63" s="449"/>
      <c r="D63" s="449"/>
      <c r="E63" s="449"/>
      <c r="F63" s="449"/>
      <c r="G63" s="450"/>
      <c r="H63" s="449"/>
      <c r="I63" s="449" t="s">
        <v>1102</v>
      </c>
      <c r="J63" s="449" t="s">
        <v>68</v>
      </c>
      <c r="K63" s="450" t="s">
        <v>1034</v>
      </c>
      <c r="L63" s="519" t="s">
        <v>43</v>
      </c>
      <c r="M63" s="154" t="s">
        <v>36</v>
      </c>
      <c r="N63" s="89">
        <v>2.625</v>
      </c>
      <c r="O63" s="89">
        <v>2.625</v>
      </c>
      <c r="P63" s="89">
        <v>0</v>
      </c>
      <c r="Q63" s="89">
        <v>0</v>
      </c>
      <c r="R63" s="89">
        <v>0</v>
      </c>
    </row>
    <row r="64" spans="1:18" s="203" customFormat="1" ht="60">
      <c r="A64" s="445" t="s">
        <v>1194</v>
      </c>
      <c r="B64" s="519" t="s">
        <v>1195</v>
      </c>
      <c r="C64" s="449"/>
      <c r="D64" s="449"/>
      <c r="E64" s="449"/>
      <c r="F64" s="449"/>
      <c r="G64" s="450"/>
      <c r="H64" s="449"/>
      <c r="I64" s="464" t="s">
        <v>91</v>
      </c>
      <c r="J64" s="464" t="s">
        <v>68</v>
      </c>
      <c r="K64" s="464" t="s">
        <v>71</v>
      </c>
      <c r="L64" s="519" t="s">
        <v>43</v>
      </c>
      <c r="M64" s="154" t="s">
        <v>36</v>
      </c>
      <c r="N64" s="89">
        <v>0</v>
      </c>
      <c r="O64" s="89">
        <v>0</v>
      </c>
      <c r="P64" s="89">
        <v>1337.8</v>
      </c>
      <c r="Q64" s="89">
        <v>0</v>
      </c>
      <c r="R64" s="89">
        <v>0</v>
      </c>
    </row>
    <row r="65" spans="1:18" s="203" customFormat="1" ht="96" customHeight="1">
      <c r="A65" s="445" t="s">
        <v>1402</v>
      </c>
      <c r="B65" s="519"/>
      <c r="C65" s="449"/>
      <c r="D65" s="449"/>
      <c r="E65" s="449"/>
      <c r="F65" s="449"/>
      <c r="G65" s="450"/>
      <c r="H65" s="449"/>
      <c r="I65" s="449"/>
      <c r="J65" s="449"/>
      <c r="K65" s="450"/>
      <c r="L65" s="519" t="s">
        <v>43</v>
      </c>
      <c r="M65" s="154" t="s">
        <v>36</v>
      </c>
      <c r="N65" s="89">
        <v>0</v>
      </c>
      <c r="O65" s="89">
        <v>0</v>
      </c>
      <c r="P65" s="89">
        <v>18858.7</v>
      </c>
      <c r="Q65" s="89">
        <v>0</v>
      </c>
      <c r="R65" s="89">
        <v>0</v>
      </c>
    </row>
    <row r="66" spans="1:18" s="203" customFormat="1" ht="61.5" customHeight="1">
      <c r="A66" s="54" t="s">
        <v>1197</v>
      </c>
      <c r="B66" s="519" t="s">
        <v>1191</v>
      </c>
      <c r="C66" s="449"/>
      <c r="D66" s="449"/>
      <c r="E66" s="449"/>
      <c r="F66" s="449"/>
      <c r="G66" s="450"/>
      <c r="H66" s="449"/>
      <c r="I66" s="539" t="s">
        <v>1389</v>
      </c>
      <c r="J66" s="540" t="s">
        <v>68</v>
      </c>
      <c r="K66" s="540" t="s">
        <v>1390</v>
      </c>
      <c r="L66" s="519" t="s">
        <v>43</v>
      </c>
      <c r="M66" s="154" t="s">
        <v>36</v>
      </c>
      <c r="N66" s="89">
        <v>0</v>
      </c>
      <c r="O66" s="89">
        <v>0</v>
      </c>
      <c r="P66" s="89">
        <v>702.27099999999996</v>
      </c>
      <c r="Q66" s="89">
        <f>1748/2</f>
        <v>874</v>
      </c>
      <c r="R66" s="89">
        <v>0</v>
      </c>
    </row>
    <row r="67" spans="1:18" s="203" customFormat="1" ht="72.75" customHeight="1">
      <c r="A67" s="54" t="s">
        <v>1198</v>
      </c>
      <c r="B67" s="519" t="s">
        <v>1193</v>
      </c>
      <c r="C67" s="449"/>
      <c r="D67" s="449"/>
      <c r="E67" s="449"/>
      <c r="F67" s="449"/>
      <c r="G67" s="450"/>
      <c r="H67" s="449"/>
      <c r="I67" s="539"/>
      <c r="J67" s="540"/>
      <c r="K67" s="540"/>
      <c r="L67" s="519" t="s">
        <v>43</v>
      </c>
      <c r="M67" s="154" t="s">
        <v>36</v>
      </c>
      <c r="N67" s="89">
        <v>0</v>
      </c>
      <c r="O67" s="89">
        <v>0</v>
      </c>
      <c r="P67" s="89">
        <v>21.72</v>
      </c>
      <c r="Q67" s="89">
        <f>54.062/2</f>
        <v>27.030999999999999</v>
      </c>
      <c r="R67" s="89">
        <v>0</v>
      </c>
    </row>
    <row r="68" spans="1:18" s="203" customFormat="1" ht="64.5" customHeight="1">
      <c r="A68" s="54" t="s">
        <v>1401</v>
      </c>
      <c r="B68" s="519" t="s">
        <v>1400</v>
      </c>
      <c r="C68" s="449"/>
      <c r="D68" s="449"/>
      <c r="E68" s="449"/>
      <c r="F68" s="449"/>
      <c r="G68" s="450"/>
      <c r="H68" s="449"/>
      <c r="I68" s="464" t="s">
        <v>91</v>
      </c>
      <c r="J68" s="464" t="s">
        <v>68</v>
      </c>
      <c r="K68" s="464" t="s">
        <v>71</v>
      </c>
      <c r="L68" s="519" t="s">
        <v>43</v>
      </c>
      <c r="M68" s="154" t="s">
        <v>36</v>
      </c>
      <c r="N68" s="89">
        <v>0</v>
      </c>
      <c r="O68" s="89">
        <v>0</v>
      </c>
      <c r="P68" s="89">
        <v>587.5</v>
      </c>
      <c r="Q68" s="89">
        <v>0</v>
      </c>
      <c r="R68" s="89">
        <v>0</v>
      </c>
    </row>
    <row r="69" spans="1:18" s="203" customFormat="1" ht="74.25" customHeight="1">
      <c r="A69" s="54" t="s">
        <v>1459</v>
      </c>
      <c r="B69" s="519"/>
      <c r="C69" s="449" t="s">
        <v>355</v>
      </c>
      <c r="D69" s="449" t="s">
        <v>321</v>
      </c>
      <c r="E69" s="449" t="s">
        <v>60</v>
      </c>
      <c r="F69" s="449" t="s">
        <v>353</v>
      </c>
      <c r="G69" s="449" t="s">
        <v>322</v>
      </c>
      <c r="H69" s="449" t="s">
        <v>227</v>
      </c>
      <c r="I69" s="449" t="s">
        <v>851</v>
      </c>
      <c r="J69" s="449" t="s">
        <v>133</v>
      </c>
      <c r="K69" s="449" t="s">
        <v>134</v>
      </c>
      <c r="L69" s="238" t="s">
        <v>43</v>
      </c>
      <c r="M69" s="239" t="s">
        <v>36</v>
      </c>
      <c r="N69" s="90">
        <v>1040.4000000000001</v>
      </c>
      <c r="O69" s="90">
        <v>954.02</v>
      </c>
      <c r="P69" s="90">
        <v>1481.38</v>
      </c>
      <c r="Q69" s="90">
        <v>0</v>
      </c>
      <c r="R69" s="90">
        <v>0</v>
      </c>
    </row>
    <row r="70" spans="1:18" s="203" customFormat="1" ht="72">
      <c r="A70" s="54" t="s">
        <v>1460</v>
      </c>
      <c r="B70" s="519"/>
      <c r="C70" s="449" t="s">
        <v>355</v>
      </c>
      <c r="D70" s="449" t="s">
        <v>321</v>
      </c>
      <c r="E70" s="449" t="s">
        <v>60</v>
      </c>
      <c r="F70" s="449" t="s">
        <v>353</v>
      </c>
      <c r="G70" s="449" t="s">
        <v>322</v>
      </c>
      <c r="H70" s="449" t="s">
        <v>227</v>
      </c>
      <c r="I70" s="449" t="s">
        <v>925</v>
      </c>
      <c r="J70" s="449" t="s">
        <v>68</v>
      </c>
      <c r="K70" s="450" t="s">
        <v>441</v>
      </c>
      <c r="L70" s="73" t="s">
        <v>43</v>
      </c>
      <c r="M70" s="155" t="s">
        <v>36</v>
      </c>
      <c r="N70" s="125">
        <f>120.778+472.564</f>
        <v>593.34199999999998</v>
      </c>
      <c r="O70" s="125">
        <f>120.778+472.564</f>
        <v>593.34199999999998</v>
      </c>
      <c r="P70" s="125">
        <v>692</v>
      </c>
      <c r="Q70" s="125">
        <v>5.2</v>
      </c>
      <c r="R70" s="125">
        <v>246.2</v>
      </c>
    </row>
    <row r="71" spans="1:18" s="203" customFormat="1" ht="84">
      <c r="A71" s="54"/>
      <c r="B71" s="519"/>
      <c r="C71" s="449"/>
      <c r="D71" s="449"/>
      <c r="E71" s="449"/>
      <c r="F71" s="449"/>
      <c r="G71" s="449"/>
      <c r="H71" s="449"/>
      <c r="I71" s="449" t="s">
        <v>810</v>
      </c>
      <c r="J71" s="449" t="s">
        <v>68</v>
      </c>
      <c r="K71" s="450" t="s">
        <v>308</v>
      </c>
      <c r="L71" s="519"/>
      <c r="M71" s="154"/>
      <c r="N71" s="208"/>
      <c r="O71" s="208"/>
      <c r="P71" s="208"/>
      <c r="Q71" s="208"/>
      <c r="R71" s="208"/>
    </row>
    <row r="72" spans="1:18" s="203" customFormat="1" ht="48" customHeight="1">
      <c r="A72" s="54"/>
      <c r="B72" s="519"/>
      <c r="C72" s="449"/>
      <c r="D72" s="449"/>
      <c r="E72" s="449"/>
      <c r="F72" s="449"/>
      <c r="G72" s="449"/>
      <c r="H72" s="449"/>
      <c r="I72" s="449" t="s">
        <v>1276</v>
      </c>
      <c r="J72" s="449" t="s">
        <v>68</v>
      </c>
      <c r="K72" s="450" t="s">
        <v>595</v>
      </c>
      <c r="L72" s="519"/>
      <c r="M72" s="154"/>
      <c r="N72" s="208"/>
      <c r="O72" s="208"/>
      <c r="P72" s="208"/>
      <c r="Q72" s="208"/>
      <c r="R72" s="208"/>
    </row>
    <row r="73" spans="1:18" s="203" customFormat="1" ht="71.25" customHeight="1">
      <c r="A73" s="54"/>
      <c r="B73" s="519"/>
      <c r="C73" s="449"/>
      <c r="D73" s="449"/>
      <c r="E73" s="449"/>
      <c r="F73" s="449"/>
      <c r="G73" s="449"/>
      <c r="H73" s="449"/>
      <c r="I73" s="449" t="s">
        <v>1277</v>
      </c>
      <c r="J73" s="449" t="s">
        <v>68</v>
      </c>
      <c r="K73" s="450" t="s">
        <v>452</v>
      </c>
      <c r="L73" s="519"/>
      <c r="M73" s="154"/>
      <c r="N73" s="208"/>
      <c r="O73" s="208"/>
      <c r="P73" s="208"/>
      <c r="Q73" s="208"/>
      <c r="R73" s="208"/>
    </row>
    <row r="74" spans="1:18" s="203" customFormat="1" ht="83.25" customHeight="1">
      <c r="A74" s="54"/>
      <c r="B74" s="519"/>
      <c r="C74" s="464"/>
      <c r="D74" s="464"/>
      <c r="E74" s="464"/>
      <c r="F74" s="464"/>
      <c r="G74" s="464"/>
      <c r="H74" s="464"/>
      <c r="I74" s="449" t="s">
        <v>1278</v>
      </c>
      <c r="J74" s="449" t="s">
        <v>68</v>
      </c>
      <c r="K74" s="449" t="s">
        <v>506</v>
      </c>
      <c r="L74" s="519"/>
      <c r="M74" s="519"/>
      <c r="N74" s="208"/>
      <c r="O74" s="208"/>
      <c r="P74" s="208"/>
      <c r="Q74" s="208"/>
      <c r="R74" s="208"/>
    </row>
    <row r="75" spans="1:18" s="203" customFormat="1" ht="26.25" customHeight="1">
      <c r="A75" s="54" t="s">
        <v>1461</v>
      </c>
      <c r="B75" s="204"/>
      <c r="C75" s="460"/>
      <c r="D75" s="460"/>
      <c r="E75" s="460"/>
      <c r="F75" s="449"/>
      <c r="G75" s="460"/>
      <c r="H75" s="460"/>
      <c r="I75" s="460"/>
      <c r="J75" s="460"/>
      <c r="K75" s="460"/>
      <c r="L75" s="204"/>
      <c r="M75" s="204"/>
      <c r="N75" s="208"/>
      <c r="O75" s="208"/>
      <c r="P75" s="208"/>
      <c r="Q75" s="208"/>
      <c r="R75" s="208"/>
    </row>
    <row r="76" spans="1:18" s="203" customFormat="1" ht="60">
      <c r="A76" s="54"/>
      <c r="B76" s="519" t="s">
        <v>465</v>
      </c>
      <c r="C76" s="460"/>
      <c r="D76" s="460"/>
      <c r="E76" s="460"/>
      <c r="F76" s="449"/>
      <c r="G76" s="460"/>
      <c r="H76" s="460"/>
      <c r="I76" s="464" t="s">
        <v>872</v>
      </c>
      <c r="J76" s="464" t="s">
        <v>68</v>
      </c>
      <c r="K76" s="464" t="s">
        <v>873</v>
      </c>
      <c r="L76" s="519" t="s">
        <v>43</v>
      </c>
      <c r="M76" s="519" t="s">
        <v>36</v>
      </c>
      <c r="N76" s="89">
        <v>85.7</v>
      </c>
      <c r="O76" s="89">
        <v>85.7</v>
      </c>
      <c r="P76" s="89">
        <v>0</v>
      </c>
      <c r="Q76" s="89">
        <v>0</v>
      </c>
      <c r="R76" s="89">
        <v>0</v>
      </c>
    </row>
    <row r="77" spans="1:18" s="203" customFormat="1" ht="60">
      <c r="A77" s="211"/>
      <c r="B77" s="519" t="s">
        <v>474</v>
      </c>
      <c r="C77" s="464"/>
      <c r="D77" s="464"/>
      <c r="E77" s="464"/>
      <c r="F77" s="464"/>
      <c r="G77" s="464"/>
      <c r="H77" s="464"/>
      <c r="I77" s="449" t="s">
        <v>1446</v>
      </c>
      <c r="J77" s="295"/>
      <c r="K77" s="295"/>
      <c r="L77" s="519" t="s">
        <v>43</v>
      </c>
      <c r="M77" s="519" t="s">
        <v>36</v>
      </c>
      <c r="N77" s="89">
        <v>26.297000000000001</v>
      </c>
      <c r="O77" s="89">
        <v>26.297000000000001</v>
      </c>
      <c r="P77" s="89">
        <v>51.3</v>
      </c>
      <c r="Q77" s="89">
        <v>0</v>
      </c>
      <c r="R77" s="89">
        <v>0</v>
      </c>
    </row>
    <row r="78" spans="1:18" s="114" customFormat="1" ht="146.25" customHeight="1">
      <c r="A78" s="231" t="s">
        <v>611</v>
      </c>
      <c r="B78" s="176" t="s">
        <v>568</v>
      </c>
      <c r="C78" s="232"/>
      <c r="D78" s="232"/>
      <c r="E78" s="232"/>
      <c r="F78" s="232"/>
      <c r="G78" s="232"/>
      <c r="H78" s="233"/>
      <c r="I78" s="232"/>
      <c r="J78" s="232"/>
      <c r="K78" s="233"/>
      <c r="L78" s="234"/>
      <c r="M78" s="234"/>
      <c r="N78" s="241">
        <f>SUM(N79:N108)</f>
        <v>59955.462</v>
      </c>
      <c r="O78" s="241">
        <f t="shared" ref="O78:R78" si="13">SUM(O79:O108)</f>
        <v>59343.654000000002</v>
      </c>
      <c r="P78" s="241">
        <f t="shared" si="13"/>
        <v>55874.8125</v>
      </c>
      <c r="Q78" s="241">
        <f t="shared" si="13"/>
        <v>50650.463000000003</v>
      </c>
      <c r="R78" s="241">
        <f t="shared" si="13"/>
        <v>44411.239000000001</v>
      </c>
    </row>
    <row r="79" spans="1:18" s="203" customFormat="1" ht="156" customHeight="1">
      <c r="A79" s="609" t="s">
        <v>821</v>
      </c>
      <c r="B79" s="610"/>
      <c r="C79" s="440" t="s">
        <v>355</v>
      </c>
      <c r="D79" s="440" t="s">
        <v>347</v>
      </c>
      <c r="E79" s="440" t="s">
        <v>60</v>
      </c>
      <c r="F79" s="440" t="s">
        <v>353</v>
      </c>
      <c r="G79" s="440" t="s">
        <v>348</v>
      </c>
      <c r="H79" s="440" t="s">
        <v>227</v>
      </c>
      <c r="I79" s="449" t="s">
        <v>876</v>
      </c>
      <c r="J79" s="449" t="s">
        <v>68</v>
      </c>
      <c r="K79" s="449" t="s">
        <v>444</v>
      </c>
      <c r="L79" s="518" t="s">
        <v>43</v>
      </c>
      <c r="M79" s="480" t="s">
        <v>36</v>
      </c>
      <c r="N79" s="88">
        <f>43530.122+7289.561</f>
        <v>50819.683000000005</v>
      </c>
      <c r="O79" s="88">
        <f>43497.622+7289.561</f>
        <v>50787.183000000005</v>
      </c>
      <c r="P79" s="88">
        <f>37637.008+937.293</f>
        <v>38574.300999999999</v>
      </c>
      <c r="Q79" s="88">
        <f>38114.755+80</f>
        <v>38194.754999999997</v>
      </c>
      <c r="R79" s="88">
        <f>38114.755+80</f>
        <v>38194.754999999997</v>
      </c>
    </row>
    <row r="80" spans="1:18" s="203" customFormat="1" ht="60">
      <c r="A80" s="546"/>
      <c r="B80" s="565"/>
      <c r="C80" s="223"/>
      <c r="D80" s="223"/>
      <c r="E80" s="223"/>
      <c r="F80" s="206"/>
      <c r="G80" s="206"/>
      <c r="H80" s="206"/>
      <c r="I80" s="464" t="s">
        <v>323</v>
      </c>
      <c r="J80" s="464" t="s">
        <v>68</v>
      </c>
      <c r="K80" s="464" t="s">
        <v>332</v>
      </c>
      <c r="L80" s="519" t="s">
        <v>23</v>
      </c>
      <c r="M80" s="154" t="s">
        <v>37</v>
      </c>
      <c r="N80" s="89">
        <v>0.82699999999999996</v>
      </c>
      <c r="O80" s="89">
        <v>0.82699999999999996</v>
      </c>
      <c r="P80" s="89">
        <v>0</v>
      </c>
      <c r="Q80" s="89">
        <v>0</v>
      </c>
      <c r="R80" s="89">
        <v>0</v>
      </c>
    </row>
    <row r="81" spans="1:18" s="203" customFormat="1" ht="60">
      <c r="A81" s="546"/>
      <c r="B81" s="565"/>
      <c r="C81" s="449" t="s">
        <v>354</v>
      </c>
      <c r="D81" s="449" t="s">
        <v>811</v>
      </c>
      <c r="E81" s="449" t="s">
        <v>525</v>
      </c>
      <c r="F81" s="206"/>
      <c r="G81" s="206"/>
      <c r="H81" s="206"/>
      <c r="I81" s="464" t="s">
        <v>515</v>
      </c>
      <c r="J81" s="464" t="s">
        <v>68</v>
      </c>
      <c r="K81" s="464" t="s">
        <v>516</v>
      </c>
      <c r="L81" s="460"/>
      <c r="M81" s="202"/>
      <c r="N81" s="208"/>
      <c r="O81" s="208"/>
      <c r="P81" s="208"/>
      <c r="Q81" s="208"/>
      <c r="R81" s="208"/>
    </row>
    <row r="82" spans="1:18" s="203" customFormat="1" ht="48">
      <c r="A82" s="224"/>
      <c r="B82" s="460"/>
      <c r="C82" s="449"/>
      <c r="D82" s="449"/>
      <c r="E82" s="449"/>
      <c r="F82" s="449"/>
      <c r="G82" s="449"/>
      <c r="H82" s="449"/>
      <c r="I82" s="449" t="s">
        <v>91</v>
      </c>
      <c r="J82" s="449" t="s">
        <v>68</v>
      </c>
      <c r="K82" s="450" t="s">
        <v>71</v>
      </c>
      <c r="L82" s="460"/>
      <c r="M82" s="460"/>
      <c r="N82" s="208"/>
      <c r="O82" s="208"/>
      <c r="P82" s="208"/>
      <c r="Q82" s="208"/>
      <c r="R82" s="208"/>
    </row>
    <row r="83" spans="1:18" s="114" customFormat="1" ht="47.25" customHeight="1">
      <c r="A83" s="546" t="s">
        <v>822</v>
      </c>
      <c r="B83" s="519"/>
      <c r="C83" s="449" t="s">
        <v>354</v>
      </c>
      <c r="D83" s="449" t="s">
        <v>849</v>
      </c>
      <c r="E83" s="449" t="s">
        <v>525</v>
      </c>
      <c r="F83" s="539" t="s">
        <v>325</v>
      </c>
      <c r="G83" s="539" t="s">
        <v>326</v>
      </c>
      <c r="H83" s="539" t="s">
        <v>308</v>
      </c>
      <c r="I83" s="539" t="s">
        <v>1440</v>
      </c>
      <c r="J83" s="539" t="s">
        <v>68</v>
      </c>
      <c r="K83" s="603" t="s">
        <v>1036</v>
      </c>
      <c r="L83" s="100" t="s">
        <v>43</v>
      </c>
      <c r="M83" s="100" t="s">
        <v>36</v>
      </c>
      <c r="N83" s="110">
        <v>637.31799999999998</v>
      </c>
      <c r="O83" s="110">
        <v>637.31799999999998</v>
      </c>
      <c r="P83" s="110">
        <v>1290.3499999999999</v>
      </c>
      <c r="Q83" s="110">
        <v>1305.5</v>
      </c>
      <c r="R83" s="110">
        <v>1305.5</v>
      </c>
    </row>
    <row r="84" spans="1:18" s="114" customFormat="1" ht="38.25" customHeight="1">
      <c r="A84" s="546"/>
      <c r="B84" s="519" t="s">
        <v>327</v>
      </c>
      <c r="C84" s="449"/>
      <c r="D84" s="449"/>
      <c r="E84" s="449"/>
      <c r="F84" s="539"/>
      <c r="G84" s="539"/>
      <c r="H84" s="539"/>
      <c r="I84" s="539"/>
      <c r="J84" s="539"/>
      <c r="K84" s="603"/>
      <c r="L84" s="100" t="s">
        <v>43</v>
      </c>
      <c r="M84" s="100" t="s">
        <v>36</v>
      </c>
      <c r="N84" s="89">
        <v>3144.1570000000002</v>
      </c>
      <c r="O84" s="89">
        <v>2922.9490000000001</v>
      </c>
      <c r="P84" s="89">
        <v>2618.5</v>
      </c>
      <c r="Q84" s="89">
        <v>3906.65</v>
      </c>
      <c r="R84" s="89">
        <v>3906.65</v>
      </c>
    </row>
    <row r="85" spans="1:18" s="203" customFormat="1" ht="144">
      <c r="A85" s="54" t="s">
        <v>823</v>
      </c>
      <c r="B85" s="519" t="s">
        <v>340</v>
      </c>
      <c r="C85" s="449" t="s">
        <v>354</v>
      </c>
      <c r="D85" s="449" t="s">
        <v>339</v>
      </c>
      <c r="E85" s="449" t="s">
        <v>341</v>
      </c>
      <c r="F85" s="449" t="s">
        <v>809</v>
      </c>
      <c r="G85" s="450" t="s">
        <v>68</v>
      </c>
      <c r="H85" s="449" t="s">
        <v>1272</v>
      </c>
      <c r="I85" s="449" t="s">
        <v>449</v>
      </c>
      <c r="J85" s="449" t="s">
        <v>68</v>
      </c>
      <c r="K85" s="450" t="s">
        <v>118</v>
      </c>
      <c r="L85" s="76" t="s">
        <v>43</v>
      </c>
      <c r="M85" s="156" t="s">
        <v>36</v>
      </c>
      <c r="N85" s="125">
        <v>851</v>
      </c>
      <c r="O85" s="125">
        <v>676</v>
      </c>
      <c r="P85" s="125">
        <v>1004.3339999999999</v>
      </c>
      <c r="Q85" s="125">
        <v>1004.3339999999999</v>
      </c>
      <c r="R85" s="125">
        <v>1004.3339999999999</v>
      </c>
    </row>
    <row r="86" spans="1:18" s="203" customFormat="1" ht="111" customHeight="1">
      <c r="A86" s="54" t="s">
        <v>912</v>
      </c>
      <c r="B86" s="519" t="s">
        <v>338</v>
      </c>
      <c r="C86" s="449" t="s">
        <v>354</v>
      </c>
      <c r="D86" s="449" t="s">
        <v>339</v>
      </c>
      <c r="E86" s="449" t="s">
        <v>341</v>
      </c>
      <c r="F86" s="449" t="s">
        <v>807</v>
      </c>
      <c r="G86" s="450" t="s">
        <v>808</v>
      </c>
      <c r="H86" s="449" t="s">
        <v>308</v>
      </c>
      <c r="I86" s="449" t="s">
        <v>850</v>
      </c>
      <c r="J86" s="449" t="s">
        <v>68</v>
      </c>
      <c r="K86" s="450" t="s">
        <v>440</v>
      </c>
      <c r="L86" s="76" t="s">
        <v>43</v>
      </c>
      <c r="M86" s="156" t="s">
        <v>36</v>
      </c>
      <c r="N86" s="125">
        <v>283.10000000000002</v>
      </c>
      <c r="O86" s="125">
        <v>120</v>
      </c>
      <c r="P86" s="125">
        <v>0</v>
      </c>
      <c r="Q86" s="125">
        <v>0</v>
      </c>
      <c r="R86" s="125">
        <v>0</v>
      </c>
    </row>
    <row r="87" spans="1:18" s="203" customFormat="1" ht="37.5" customHeight="1">
      <c r="A87" s="546" t="s">
        <v>913</v>
      </c>
      <c r="B87" s="519" t="s">
        <v>891</v>
      </c>
      <c r="C87" s="449"/>
      <c r="D87" s="449"/>
      <c r="E87" s="449"/>
      <c r="F87" s="449"/>
      <c r="G87" s="450"/>
      <c r="H87" s="449"/>
      <c r="I87" s="539" t="s">
        <v>935</v>
      </c>
      <c r="J87" s="539" t="s">
        <v>68</v>
      </c>
      <c r="K87" s="603" t="s">
        <v>934</v>
      </c>
      <c r="L87" s="100" t="s">
        <v>43</v>
      </c>
      <c r="M87" s="100" t="s">
        <v>36</v>
      </c>
      <c r="N87" s="110">
        <v>1646.663</v>
      </c>
      <c r="O87" s="110">
        <v>1646.663</v>
      </c>
      <c r="P87" s="110">
        <f>3250.626/2</f>
        <v>1625.3130000000001</v>
      </c>
      <c r="Q87" s="110">
        <v>0</v>
      </c>
      <c r="R87" s="110">
        <v>0</v>
      </c>
    </row>
    <row r="88" spans="1:18" s="203" customFormat="1" ht="37.5" customHeight="1">
      <c r="A88" s="546"/>
      <c r="B88" s="519" t="s">
        <v>887</v>
      </c>
      <c r="C88" s="449"/>
      <c r="D88" s="449"/>
      <c r="E88" s="449"/>
      <c r="F88" s="449"/>
      <c r="G88" s="450"/>
      <c r="H88" s="449"/>
      <c r="I88" s="539"/>
      <c r="J88" s="539"/>
      <c r="K88" s="603"/>
      <c r="L88" s="100" t="s">
        <v>43</v>
      </c>
      <c r="M88" s="100" t="s">
        <v>36</v>
      </c>
      <c r="N88" s="110">
        <v>50.9285</v>
      </c>
      <c r="O88" s="110">
        <v>50.9285</v>
      </c>
      <c r="P88" s="110">
        <f>100.535/2</f>
        <v>50.267499999999998</v>
      </c>
      <c r="Q88" s="110">
        <v>0</v>
      </c>
      <c r="R88" s="110">
        <v>0</v>
      </c>
    </row>
    <row r="89" spans="1:18" s="203" customFormat="1" ht="45" customHeight="1">
      <c r="A89" s="546" t="s">
        <v>914</v>
      </c>
      <c r="B89" s="519" t="s">
        <v>889</v>
      </c>
      <c r="C89" s="449"/>
      <c r="D89" s="449"/>
      <c r="E89" s="449"/>
      <c r="F89" s="449"/>
      <c r="G89" s="450"/>
      <c r="H89" s="449"/>
      <c r="I89" s="540" t="s">
        <v>91</v>
      </c>
      <c r="J89" s="540" t="s">
        <v>68</v>
      </c>
      <c r="K89" s="540" t="s">
        <v>71</v>
      </c>
      <c r="L89" s="100" t="s">
        <v>43</v>
      </c>
      <c r="M89" s="100" t="s">
        <v>36</v>
      </c>
      <c r="N89" s="110">
        <v>989.21249999999998</v>
      </c>
      <c r="O89" s="110">
        <v>989.21249999999998</v>
      </c>
      <c r="P89" s="110">
        <f>8799.021/2</f>
        <v>4399.5105000000003</v>
      </c>
      <c r="Q89" s="110">
        <f>10356.094/2</f>
        <v>5178.0469999999996</v>
      </c>
      <c r="R89" s="110">
        <v>0</v>
      </c>
    </row>
    <row r="90" spans="1:18" s="203" customFormat="1" ht="39" customHeight="1">
      <c r="A90" s="546"/>
      <c r="B90" s="519" t="s">
        <v>890</v>
      </c>
      <c r="C90" s="449"/>
      <c r="D90" s="449"/>
      <c r="E90" s="449"/>
      <c r="F90" s="449"/>
      <c r="G90" s="450"/>
      <c r="H90" s="449"/>
      <c r="I90" s="540"/>
      <c r="J90" s="540"/>
      <c r="K90" s="540"/>
      <c r="L90" s="100" t="s">
        <v>43</v>
      </c>
      <c r="M90" s="100" t="s">
        <v>36</v>
      </c>
      <c r="N90" s="110">
        <v>30.594000000000001</v>
      </c>
      <c r="O90" s="110">
        <v>30.594000000000001</v>
      </c>
      <c r="P90" s="110">
        <f>272.135/2</f>
        <v>136.0675</v>
      </c>
      <c r="Q90" s="110">
        <f>320.292/2</f>
        <v>160.14599999999999</v>
      </c>
      <c r="R90" s="110">
        <v>0</v>
      </c>
    </row>
    <row r="91" spans="1:18" s="203" customFormat="1" ht="74.25" customHeight="1">
      <c r="A91" s="54" t="s">
        <v>915</v>
      </c>
      <c r="B91" s="519"/>
      <c r="C91" s="449" t="s">
        <v>355</v>
      </c>
      <c r="D91" s="449" t="s">
        <v>321</v>
      </c>
      <c r="E91" s="449" t="s">
        <v>60</v>
      </c>
      <c r="F91" s="449" t="s">
        <v>353</v>
      </c>
      <c r="G91" s="449" t="s">
        <v>322</v>
      </c>
      <c r="H91" s="449" t="s">
        <v>227</v>
      </c>
      <c r="I91" s="449" t="s">
        <v>724</v>
      </c>
      <c r="J91" s="449" t="s">
        <v>133</v>
      </c>
      <c r="K91" s="449" t="s">
        <v>134</v>
      </c>
      <c r="L91" s="518" t="s">
        <v>43</v>
      </c>
      <c r="M91" s="518" t="s">
        <v>36</v>
      </c>
      <c r="N91" s="88">
        <v>45</v>
      </c>
      <c r="O91" s="88">
        <v>45</v>
      </c>
      <c r="P91" s="88">
        <v>1190</v>
      </c>
      <c r="Q91" s="88">
        <v>0</v>
      </c>
      <c r="R91" s="88">
        <v>0</v>
      </c>
    </row>
    <row r="92" spans="1:18" s="203" customFormat="1" ht="72">
      <c r="A92" s="54" t="s">
        <v>916</v>
      </c>
      <c r="B92" s="519"/>
      <c r="C92" s="449" t="s">
        <v>355</v>
      </c>
      <c r="D92" s="449" t="s">
        <v>321</v>
      </c>
      <c r="E92" s="449" t="s">
        <v>60</v>
      </c>
      <c r="F92" s="449" t="s">
        <v>353</v>
      </c>
      <c r="G92" s="449" t="s">
        <v>322</v>
      </c>
      <c r="H92" s="449" t="s">
        <v>227</v>
      </c>
      <c r="I92" s="449" t="s">
        <v>925</v>
      </c>
      <c r="J92" s="449" t="s">
        <v>68</v>
      </c>
      <c r="K92" s="450" t="s">
        <v>441</v>
      </c>
      <c r="L92" s="73" t="s">
        <v>43</v>
      </c>
      <c r="M92" s="155" t="s">
        <v>36</v>
      </c>
      <c r="N92" s="125">
        <v>0</v>
      </c>
      <c r="O92" s="125">
        <v>0</v>
      </c>
      <c r="P92" s="125">
        <v>24</v>
      </c>
      <c r="Q92" s="125">
        <v>0</v>
      </c>
      <c r="R92" s="125">
        <v>0</v>
      </c>
    </row>
    <row r="93" spans="1:18" s="203" customFormat="1" ht="48.75" customHeight="1">
      <c r="A93" s="54"/>
      <c r="B93" s="519"/>
      <c r="C93" s="449"/>
      <c r="D93" s="449"/>
      <c r="E93" s="449"/>
      <c r="F93" s="449"/>
      <c r="G93" s="449"/>
      <c r="H93" s="449"/>
      <c r="I93" s="449" t="s">
        <v>1276</v>
      </c>
      <c r="J93" s="449" t="s">
        <v>68</v>
      </c>
      <c r="K93" s="450" t="s">
        <v>595</v>
      </c>
      <c r="L93" s="204"/>
      <c r="M93" s="207"/>
      <c r="N93" s="208"/>
      <c r="O93" s="208"/>
      <c r="P93" s="208"/>
      <c r="Q93" s="208"/>
      <c r="R93" s="208"/>
    </row>
    <row r="94" spans="1:18" s="203" customFormat="1" ht="72" customHeight="1">
      <c r="A94" s="54"/>
      <c r="B94" s="519"/>
      <c r="C94" s="449"/>
      <c r="D94" s="449"/>
      <c r="E94" s="449"/>
      <c r="F94" s="449"/>
      <c r="G94" s="449"/>
      <c r="H94" s="449"/>
      <c r="I94" s="449" t="s">
        <v>1279</v>
      </c>
      <c r="J94" s="449" t="s">
        <v>68</v>
      </c>
      <c r="K94" s="450" t="s">
        <v>452</v>
      </c>
      <c r="L94" s="204"/>
      <c r="M94" s="207"/>
      <c r="N94" s="208"/>
      <c r="O94" s="208"/>
      <c r="P94" s="208"/>
      <c r="Q94" s="208"/>
      <c r="R94" s="208"/>
    </row>
    <row r="95" spans="1:18" s="203" customFormat="1" ht="84" customHeight="1">
      <c r="A95" s="54"/>
      <c r="B95" s="519"/>
      <c r="C95" s="464"/>
      <c r="D95" s="464"/>
      <c r="E95" s="464"/>
      <c r="F95" s="464"/>
      <c r="G95" s="464"/>
      <c r="H95" s="464"/>
      <c r="I95" s="449" t="s">
        <v>1280</v>
      </c>
      <c r="J95" s="449" t="s">
        <v>68</v>
      </c>
      <c r="K95" s="449" t="s">
        <v>506</v>
      </c>
      <c r="L95" s="213"/>
      <c r="M95" s="209"/>
      <c r="N95" s="208"/>
      <c r="O95" s="208"/>
      <c r="P95" s="208"/>
      <c r="Q95" s="208"/>
      <c r="R95" s="208"/>
    </row>
    <row r="96" spans="1:18" s="203" customFormat="1" ht="84.75" customHeight="1">
      <c r="A96" s="54" t="s">
        <v>917</v>
      </c>
      <c r="B96" s="519" t="s">
        <v>858</v>
      </c>
      <c r="C96" s="464"/>
      <c r="D96" s="464"/>
      <c r="E96" s="464"/>
      <c r="F96" s="464"/>
      <c r="G96" s="464"/>
      <c r="H96" s="464"/>
      <c r="I96" s="449" t="s">
        <v>1092</v>
      </c>
      <c r="J96" s="449" t="s">
        <v>68</v>
      </c>
      <c r="K96" s="449" t="s">
        <v>1093</v>
      </c>
      <c r="L96" s="100" t="s">
        <v>43</v>
      </c>
      <c r="M96" s="100" t="s">
        <v>36</v>
      </c>
      <c r="N96" s="110">
        <v>945</v>
      </c>
      <c r="O96" s="110">
        <v>945</v>
      </c>
      <c r="P96" s="110">
        <v>0</v>
      </c>
      <c r="Q96" s="110">
        <v>0</v>
      </c>
      <c r="R96" s="110">
        <v>0</v>
      </c>
    </row>
    <row r="97" spans="1:18" s="203" customFormat="1" ht="15" customHeight="1">
      <c r="A97" s="54"/>
      <c r="B97" s="519"/>
      <c r="C97" s="464"/>
      <c r="D97" s="464"/>
      <c r="E97" s="464"/>
      <c r="F97" s="464"/>
      <c r="G97" s="464"/>
      <c r="H97" s="464"/>
      <c r="I97" s="449"/>
      <c r="J97" s="449"/>
      <c r="K97" s="449"/>
      <c r="L97" s="100"/>
      <c r="M97" s="100"/>
      <c r="N97" s="110">
        <f>238+1</f>
        <v>239</v>
      </c>
      <c r="O97" s="110">
        <f>218+1</f>
        <v>219</v>
      </c>
      <c r="P97" s="110">
        <v>0</v>
      </c>
      <c r="Q97" s="110">
        <v>0</v>
      </c>
      <c r="R97" s="110">
        <v>0</v>
      </c>
    </row>
    <row r="98" spans="1:18" s="203" customFormat="1" ht="62.25" customHeight="1">
      <c r="A98" s="445" t="s">
        <v>977</v>
      </c>
      <c r="B98" s="519" t="s">
        <v>976</v>
      </c>
      <c r="C98" s="449"/>
      <c r="D98" s="449"/>
      <c r="E98" s="449"/>
      <c r="F98" s="449"/>
      <c r="G98" s="450"/>
      <c r="H98" s="449"/>
      <c r="I98" s="449" t="s">
        <v>1102</v>
      </c>
      <c r="J98" s="449" t="s">
        <v>68</v>
      </c>
      <c r="K98" s="450" t="s">
        <v>1034</v>
      </c>
      <c r="L98" s="100" t="s">
        <v>43</v>
      </c>
      <c r="M98" s="100" t="s">
        <v>36</v>
      </c>
      <c r="N98" s="110">
        <v>0</v>
      </c>
      <c r="O98" s="110">
        <v>0</v>
      </c>
      <c r="P98" s="110">
        <v>0</v>
      </c>
      <c r="Q98" s="110">
        <v>0</v>
      </c>
      <c r="R98" s="110">
        <v>0</v>
      </c>
    </row>
    <row r="99" spans="1:18" s="203" customFormat="1" ht="60">
      <c r="A99" s="445" t="s">
        <v>1196</v>
      </c>
      <c r="B99" s="519" t="s">
        <v>1195</v>
      </c>
      <c r="C99" s="449"/>
      <c r="D99" s="449"/>
      <c r="E99" s="449"/>
      <c r="F99" s="449"/>
      <c r="G99" s="450"/>
      <c r="H99" s="449"/>
      <c r="I99" s="464" t="s">
        <v>91</v>
      </c>
      <c r="J99" s="464" t="s">
        <v>68</v>
      </c>
      <c r="K99" s="464" t="s">
        <v>71</v>
      </c>
      <c r="L99" s="100" t="s">
        <v>43</v>
      </c>
      <c r="M99" s="158" t="s">
        <v>36</v>
      </c>
      <c r="N99" s="110">
        <v>0</v>
      </c>
      <c r="O99" s="110">
        <v>0</v>
      </c>
      <c r="P99" s="110">
        <v>1337.8</v>
      </c>
      <c r="Q99" s="110">
        <v>0</v>
      </c>
      <c r="R99" s="110">
        <v>0</v>
      </c>
    </row>
    <row r="100" spans="1:18" s="203" customFormat="1" ht="96">
      <c r="A100" s="445" t="s">
        <v>1405</v>
      </c>
      <c r="B100" s="519"/>
      <c r="C100" s="449"/>
      <c r="D100" s="449"/>
      <c r="E100" s="449"/>
      <c r="F100" s="449"/>
      <c r="G100" s="450"/>
      <c r="H100" s="449"/>
      <c r="I100" s="449"/>
      <c r="J100" s="449"/>
      <c r="K100" s="450"/>
      <c r="L100" s="519" t="s">
        <v>43</v>
      </c>
      <c r="M100" s="154" t="s">
        <v>36</v>
      </c>
      <c r="N100" s="89">
        <v>0</v>
      </c>
      <c r="O100" s="89">
        <v>0</v>
      </c>
      <c r="P100" s="89">
        <v>2243.3000000000002</v>
      </c>
      <c r="Q100" s="89">
        <v>0</v>
      </c>
      <c r="R100" s="89">
        <v>0</v>
      </c>
    </row>
    <row r="101" spans="1:18" s="203" customFormat="1" ht="61.5" customHeight="1">
      <c r="A101" s="54" t="s">
        <v>1199</v>
      </c>
      <c r="B101" s="519" t="s">
        <v>1191</v>
      </c>
      <c r="C101" s="449"/>
      <c r="D101" s="449"/>
      <c r="E101" s="449"/>
      <c r="F101" s="449"/>
      <c r="G101" s="450"/>
      <c r="H101" s="449"/>
      <c r="I101" s="539" t="s">
        <v>1387</v>
      </c>
      <c r="J101" s="540" t="s">
        <v>68</v>
      </c>
      <c r="K101" s="464" t="s">
        <v>1388</v>
      </c>
      <c r="L101" s="519" t="s">
        <v>43</v>
      </c>
      <c r="M101" s="154" t="s">
        <v>36</v>
      </c>
      <c r="N101" s="89">
        <v>0</v>
      </c>
      <c r="O101" s="89">
        <v>0</v>
      </c>
      <c r="P101" s="89">
        <v>480.67399999999998</v>
      </c>
      <c r="Q101" s="89">
        <v>874</v>
      </c>
      <c r="R101" s="89">
        <v>0</v>
      </c>
    </row>
    <row r="102" spans="1:18" s="203" customFormat="1" ht="72.75" customHeight="1">
      <c r="A102" s="54" t="s">
        <v>1200</v>
      </c>
      <c r="B102" s="519" t="s">
        <v>1193</v>
      </c>
      <c r="C102" s="449"/>
      <c r="D102" s="449"/>
      <c r="E102" s="449"/>
      <c r="F102" s="449"/>
      <c r="G102" s="450"/>
      <c r="H102" s="449"/>
      <c r="I102" s="539"/>
      <c r="J102" s="540"/>
      <c r="K102" s="464"/>
      <c r="L102" s="519" t="s">
        <v>43</v>
      </c>
      <c r="M102" s="154" t="s">
        <v>36</v>
      </c>
      <c r="N102" s="89">
        <v>0</v>
      </c>
      <c r="O102" s="89">
        <v>0</v>
      </c>
      <c r="P102" s="89">
        <v>14.865</v>
      </c>
      <c r="Q102" s="89">
        <f>54.062/2</f>
        <v>27.030999999999999</v>
      </c>
      <c r="R102" s="89">
        <v>0</v>
      </c>
    </row>
    <row r="103" spans="1:18" s="203" customFormat="1" ht="72.75" customHeight="1">
      <c r="A103" s="54" t="s">
        <v>1404</v>
      </c>
      <c r="B103" s="519" t="s">
        <v>1400</v>
      </c>
      <c r="C103" s="449"/>
      <c r="D103" s="449"/>
      <c r="E103" s="449"/>
      <c r="F103" s="449"/>
      <c r="G103" s="450"/>
      <c r="H103" s="449"/>
      <c r="I103" s="464" t="s">
        <v>91</v>
      </c>
      <c r="J103" s="464" t="s">
        <v>68</v>
      </c>
      <c r="K103" s="464" t="s">
        <v>71</v>
      </c>
      <c r="L103" s="519" t="s">
        <v>43</v>
      </c>
      <c r="M103" s="154" t="s">
        <v>36</v>
      </c>
      <c r="N103" s="89">
        <v>0</v>
      </c>
      <c r="O103" s="89">
        <v>0</v>
      </c>
      <c r="P103" s="89">
        <v>587.5</v>
      </c>
      <c r="Q103" s="89">
        <v>0</v>
      </c>
      <c r="R103" s="89">
        <v>0</v>
      </c>
    </row>
    <row r="104" spans="1:18" s="203" customFormat="1" ht="26.25" customHeight="1">
      <c r="A104" s="54" t="s">
        <v>1403</v>
      </c>
      <c r="B104" s="204"/>
      <c r="C104" s="460"/>
      <c r="D104" s="460"/>
      <c r="E104" s="460"/>
      <c r="F104" s="449"/>
      <c r="G104" s="460"/>
      <c r="H104" s="460"/>
      <c r="I104" s="460"/>
      <c r="J104" s="460"/>
      <c r="K104" s="460"/>
      <c r="L104" s="360"/>
      <c r="M104" s="360"/>
      <c r="N104" s="361"/>
      <c r="O104" s="361"/>
      <c r="P104" s="361"/>
      <c r="Q104" s="361"/>
      <c r="R104" s="361"/>
    </row>
    <row r="105" spans="1:18" s="203" customFormat="1" ht="60.75" customHeight="1">
      <c r="A105" s="54"/>
      <c r="B105" s="519" t="s">
        <v>480</v>
      </c>
      <c r="C105" s="460"/>
      <c r="D105" s="460"/>
      <c r="E105" s="460"/>
      <c r="F105" s="449"/>
      <c r="G105" s="460"/>
      <c r="H105" s="460"/>
      <c r="I105" s="464" t="s">
        <v>1444</v>
      </c>
      <c r="J105" s="464" t="s">
        <v>68</v>
      </c>
      <c r="K105" s="464" t="s">
        <v>1445</v>
      </c>
      <c r="L105" s="100" t="s">
        <v>43</v>
      </c>
      <c r="M105" s="100" t="s">
        <v>36</v>
      </c>
      <c r="N105" s="110">
        <v>0</v>
      </c>
      <c r="O105" s="110">
        <v>0</v>
      </c>
      <c r="P105" s="110">
        <v>298.02999999999997</v>
      </c>
      <c r="Q105" s="110">
        <v>0</v>
      </c>
      <c r="R105" s="110">
        <v>0</v>
      </c>
    </row>
    <row r="106" spans="1:18" s="114" customFormat="1" ht="60">
      <c r="A106" s="54"/>
      <c r="B106" s="519" t="s">
        <v>481</v>
      </c>
      <c r="C106" s="464"/>
      <c r="D106" s="464"/>
      <c r="E106" s="464"/>
      <c r="F106" s="449"/>
      <c r="G106" s="464"/>
      <c r="H106" s="464"/>
      <c r="I106" s="464" t="s">
        <v>940</v>
      </c>
      <c r="J106" s="464" t="s">
        <v>68</v>
      </c>
      <c r="K106" s="464" t="s">
        <v>933</v>
      </c>
      <c r="L106" s="100" t="s">
        <v>43</v>
      </c>
      <c r="M106" s="100" t="s">
        <v>36</v>
      </c>
      <c r="N106" s="110">
        <v>93.1</v>
      </c>
      <c r="O106" s="110">
        <v>93.1</v>
      </c>
      <c r="P106" s="110">
        <v>0</v>
      </c>
      <c r="Q106" s="110">
        <v>0</v>
      </c>
      <c r="R106" s="110">
        <v>0</v>
      </c>
    </row>
    <row r="107" spans="1:18" s="114" customFormat="1" ht="60">
      <c r="A107" s="54"/>
      <c r="B107" s="519" t="s">
        <v>488</v>
      </c>
      <c r="C107" s="464"/>
      <c r="D107" s="464"/>
      <c r="E107" s="464"/>
      <c r="F107" s="449"/>
      <c r="G107" s="464"/>
      <c r="H107" s="464"/>
      <c r="I107" s="464" t="s">
        <v>954</v>
      </c>
      <c r="J107" s="464" t="s">
        <v>68</v>
      </c>
      <c r="K107" s="464" t="s">
        <v>953</v>
      </c>
      <c r="L107" s="100" t="s">
        <v>43</v>
      </c>
      <c r="M107" s="100" t="s">
        <v>36</v>
      </c>
      <c r="N107" s="110">
        <v>79.88</v>
      </c>
      <c r="O107" s="110">
        <v>79.88</v>
      </c>
      <c r="P107" s="110">
        <v>0</v>
      </c>
      <c r="Q107" s="110">
        <v>0</v>
      </c>
      <c r="R107" s="110">
        <v>0</v>
      </c>
    </row>
    <row r="108" spans="1:18" s="114" customFormat="1" ht="60">
      <c r="A108" s="54"/>
      <c r="B108" s="519" t="s">
        <v>520</v>
      </c>
      <c r="C108" s="464"/>
      <c r="D108" s="464"/>
      <c r="E108" s="464"/>
      <c r="F108" s="449"/>
      <c r="G108" s="464"/>
      <c r="H108" s="464"/>
      <c r="I108" s="464" t="s">
        <v>1076</v>
      </c>
      <c r="J108" s="464" t="s">
        <v>68</v>
      </c>
      <c r="K108" s="464" t="s">
        <v>1077</v>
      </c>
      <c r="L108" s="100" t="s">
        <v>43</v>
      </c>
      <c r="M108" s="100" t="s">
        <v>36</v>
      </c>
      <c r="N108" s="110">
        <v>99.998999999999995</v>
      </c>
      <c r="O108" s="110">
        <v>99.998999999999995</v>
      </c>
      <c r="P108" s="110">
        <v>0</v>
      </c>
      <c r="Q108" s="110">
        <v>0</v>
      </c>
      <c r="R108" s="110">
        <v>0</v>
      </c>
    </row>
    <row r="109" spans="1:18" s="114" customFormat="1" ht="98.25" customHeight="1">
      <c r="A109" s="231" t="s">
        <v>613</v>
      </c>
      <c r="B109" s="176" t="s">
        <v>612</v>
      </c>
      <c r="C109" s="232"/>
      <c r="D109" s="232"/>
      <c r="E109" s="232"/>
      <c r="F109" s="232"/>
      <c r="G109" s="232"/>
      <c r="H109" s="233"/>
      <c r="I109" s="232"/>
      <c r="J109" s="232"/>
      <c r="K109" s="233"/>
      <c r="L109" s="72"/>
      <c r="M109" s="72"/>
      <c r="N109" s="282">
        <f>SUM(N110:N125)</f>
        <v>82646.547000000006</v>
      </c>
      <c r="O109" s="282">
        <f t="shared" ref="O109:R109" si="14">SUM(O110:O125)</f>
        <v>80625.974999999991</v>
      </c>
      <c r="P109" s="282">
        <f t="shared" si="14"/>
        <v>88915.351999999999</v>
      </c>
      <c r="Q109" s="282">
        <f t="shared" si="14"/>
        <v>47308.474000000002</v>
      </c>
      <c r="R109" s="282">
        <f t="shared" si="14"/>
        <v>50240.800000000003</v>
      </c>
    </row>
    <row r="110" spans="1:18" s="203" customFormat="1" ht="60" customHeight="1">
      <c r="A110" s="546" t="s">
        <v>824</v>
      </c>
      <c r="B110" s="565"/>
      <c r="C110" s="449" t="s">
        <v>355</v>
      </c>
      <c r="D110" s="449" t="s">
        <v>350</v>
      </c>
      <c r="E110" s="449" t="s">
        <v>143</v>
      </c>
      <c r="F110" s="539" t="s">
        <v>353</v>
      </c>
      <c r="G110" s="539" t="s">
        <v>328</v>
      </c>
      <c r="H110" s="539" t="s">
        <v>227</v>
      </c>
      <c r="I110" s="449" t="s">
        <v>352</v>
      </c>
      <c r="J110" s="449" t="s">
        <v>68</v>
      </c>
      <c r="K110" s="450" t="s">
        <v>60</v>
      </c>
      <c r="L110" s="73" t="s">
        <v>43</v>
      </c>
      <c r="M110" s="73" t="s">
        <v>41</v>
      </c>
      <c r="N110" s="125">
        <f>35516.846+2549.509</f>
        <v>38066.354999999996</v>
      </c>
      <c r="O110" s="125">
        <f>35516.846+2543.664</f>
        <v>38060.509999999995</v>
      </c>
      <c r="P110" s="125">
        <v>64595.22</v>
      </c>
      <c r="Q110" s="125">
        <v>44291.8</v>
      </c>
      <c r="R110" s="125">
        <v>44291.8</v>
      </c>
    </row>
    <row r="111" spans="1:18" s="203" customFormat="1" ht="48">
      <c r="A111" s="546"/>
      <c r="B111" s="565"/>
      <c r="C111" s="449" t="s">
        <v>354</v>
      </c>
      <c r="D111" s="449" t="s">
        <v>351</v>
      </c>
      <c r="E111" s="449" t="s">
        <v>227</v>
      </c>
      <c r="F111" s="539"/>
      <c r="G111" s="539"/>
      <c r="H111" s="539"/>
      <c r="I111" s="449" t="s">
        <v>91</v>
      </c>
      <c r="J111" s="449" t="s">
        <v>68</v>
      </c>
      <c r="K111" s="450" t="s">
        <v>334</v>
      </c>
      <c r="L111" s="210"/>
      <c r="M111" s="210"/>
      <c r="N111" s="212"/>
      <c r="O111" s="212"/>
      <c r="P111" s="212"/>
      <c r="Q111" s="212"/>
      <c r="R111" s="212"/>
    </row>
    <row r="112" spans="1:18" s="203" customFormat="1" ht="83.25" customHeight="1">
      <c r="A112" s="54" t="s">
        <v>825</v>
      </c>
      <c r="B112" s="519" t="s">
        <v>335</v>
      </c>
      <c r="C112" s="460"/>
      <c r="D112" s="460"/>
      <c r="E112" s="460"/>
      <c r="F112" s="449" t="s">
        <v>1281</v>
      </c>
      <c r="G112" s="449" t="s">
        <v>1282</v>
      </c>
      <c r="H112" s="449" t="s">
        <v>1345</v>
      </c>
      <c r="I112" s="449" t="s">
        <v>1392</v>
      </c>
      <c r="J112" s="449" t="s">
        <v>68</v>
      </c>
      <c r="K112" s="450" t="s">
        <v>425</v>
      </c>
      <c r="L112" s="238" t="s">
        <v>43</v>
      </c>
      <c r="M112" s="239" t="s">
        <v>41</v>
      </c>
      <c r="N112" s="90">
        <v>2248.3000000000002</v>
      </c>
      <c r="O112" s="90">
        <v>2169.357</v>
      </c>
      <c r="P112" s="90">
        <v>2430.9</v>
      </c>
      <c r="Q112" s="90">
        <v>2430.9</v>
      </c>
      <c r="R112" s="90">
        <v>2430.9</v>
      </c>
    </row>
    <row r="113" spans="1:18" s="203" customFormat="1" ht="54.75" customHeight="1">
      <c r="A113" s="546" t="s">
        <v>826</v>
      </c>
      <c r="B113" s="519" t="s">
        <v>336</v>
      </c>
      <c r="C113" s="565"/>
      <c r="D113" s="565"/>
      <c r="E113" s="565"/>
      <c r="F113" s="539"/>
      <c r="G113" s="603"/>
      <c r="H113" s="539"/>
      <c r="I113" s="539" t="s">
        <v>1443</v>
      </c>
      <c r="J113" s="539" t="s">
        <v>68</v>
      </c>
      <c r="K113" s="603" t="s">
        <v>1462</v>
      </c>
      <c r="L113" s="73" t="s">
        <v>43</v>
      </c>
      <c r="M113" s="155" t="s">
        <v>41</v>
      </c>
      <c r="N113" s="125">
        <v>35317.1</v>
      </c>
      <c r="O113" s="125">
        <v>33382</v>
      </c>
      <c r="P113" s="125">
        <v>17081.7</v>
      </c>
      <c r="Q113" s="125">
        <v>0</v>
      </c>
      <c r="R113" s="125">
        <v>0</v>
      </c>
    </row>
    <row r="114" spans="1:18" s="203" customFormat="1" ht="76.5" customHeight="1">
      <c r="A114" s="546"/>
      <c r="B114" s="519"/>
      <c r="C114" s="565"/>
      <c r="D114" s="565"/>
      <c r="E114" s="565"/>
      <c r="F114" s="539"/>
      <c r="G114" s="603"/>
      <c r="H114" s="539"/>
      <c r="I114" s="539"/>
      <c r="J114" s="539"/>
      <c r="K114" s="603"/>
      <c r="L114" s="342"/>
      <c r="M114" s="343"/>
      <c r="N114" s="344"/>
      <c r="O114" s="344"/>
      <c r="P114" s="344"/>
      <c r="Q114" s="344"/>
      <c r="R114" s="344"/>
    </row>
    <row r="115" spans="1:18" s="203" customFormat="1" ht="74.25" customHeight="1">
      <c r="A115" s="54" t="s">
        <v>1122</v>
      </c>
      <c r="B115" s="204"/>
      <c r="C115" s="449" t="s">
        <v>355</v>
      </c>
      <c r="D115" s="449" t="s">
        <v>321</v>
      </c>
      <c r="E115" s="449" t="s">
        <v>60</v>
      </c>
      <c r="F115" s="449" t="s">
        <v>353</v>
      </c>
      <c r="G115" s="449" t="s">
        <v>322</v>
      </c>
      <c r="H115" s="449" t="s">
        <v>227</v>
      </c>
      <c r="I115" s="449" t="s">
        <v>724</v>
      </c>
      <c r="J115" s="449" t="s">
        <v>133</v>
      </c>
      <c r="K115" s="449" t="s">
        <v>134</v>
      </c>
      <c r="L115" s="240" t="s">
        <v>43</v>
      </c>
      <c r="M115" s="156" t="s">
        <v>41</v>
      </c>
      <c r="N115" s="125">
        <v>425</v>
      </c>
      <c r="O115" s="125">
        <v>424.34</v>
      </c>
      <c r="P115" s="125">
        <v>493</v>
      </c>
      <c r="Q115" s="125">
        <v>0</v>
      </c>
      <c r="R115" s="125">
        <v>0</v>
      </c>
    </row>
    <row r="116" spans="1:18" s="203" customFormat="1" ht="85.5" customHeight="1">
      <c r="A116" s="54" t="s">
        <v>1123</v>
      </c>
      <c r="B116" s="204"/>
      <c r="C116" s="449" t="s">
        <v>355</v>
      </c>
      <c r="D116" s="449" t="s">
        <v>321</v>
      </c>
      <c r="E116" s="449" t="s">
        <v>60</v>
      </c>
      <c r="F116" s="449" t="s">
        <v>353</v>
      </c>
      <c r="G116" s="449" t="s">
        <v>322</v>
      </c>
      <c r="H116" s="449" t="s">
        <v>227</v>
      </c>
      <c r="I116" s="449" t="s">
        <v>1283</v>
      </c>
      <c r="J116" s="449" t="s">
        <v>68</v>
      </c>
      <c r="K116" s="449" t="s">
        <v>506</v>
      </c>
      <c r="L116" s="518" t="s">
        <v>43</v>
      </c>
      <c r="M116" s="518" t="s">
        <v>41</v>
      </c>
      <c r="N116" s="88">
        <v>5857.2420000000002</v>
      </c>
      <c r="O116" s="88">
        <v>5857.2179999999998</v>
      </c>
      <c r="P116" s="88">
        <f>400+3398.3+89.8+30</f>
        <v>3918.1000000000004</v>
      </c>
      <c r="Q116" s="88">
        <v>0</v>
      </c>
      <c r="R116" s="88">
        <v>3518.1</v>
      </c>
    </row>
    <row r="117" spans="1:18" s="203" customFormat="1" ht="60" customHeight="1">
      <c r="A117" s="211"/>
      <c r="B117" s="204"/>
      <c r="C117" s="223"/>
      <c r="D117" s="223"/>
      <c r="E117" s="223"/>
      <c r="F117" s="223"/>
      <c r="G117" s="223"/>
      <c r="H117" s="223"/>
      <c r="I117" s="449" t="s">
        <v>925</v>
      </c>
      <c r="J117" s="449" t="s">
        <v>68</v>
      </c>
      <c r="K117" s="450" t="s">
        <v>441</v>
      </c>
      <c r="L117" s="204"/>
      <c r="M117" s="204"/>
      <c r="N117" s="208"/>
      <c r="O117" s="208"/>
      <c r="P117" s="208"/>
      <c r="Q117" s="208"/>
      <c r="R117" s="208"/>
    </row>
    <row r="118" spans="1:18" s="203" customFormat="1" ht="84" customHeight="1">
      <c r="A118" s="211"/>
      <c r="B118" s="204"/>
      <c r="C118" s="223"/>
      <c r="D118" s="223"/>
      <c r="E118" s="223"/>
      <c r="F118" s="223"/>
      <c r="G118" s="223"/>
      <c r="H118" s="223"/>
      <c r="I118" s="449" t="s">
        <v>810</v>
      </c>
      <c r="J118" s="449" t="s">
        <v>68</v>
      </c>
      <c r="K118" s="450" t="s">
        <v>308</v>
      </c>
      <c r="L118" s="204"/>
      <c r="M118" s="204"/>
      <c r="N118" s="208"/>
      <c r="O118" s="208"/>
      <c r="P118" s="208"/>
      <c r="Q118" s="208"/>
      <c r="R118" s="208"/>
    </row>
    <row r="119" spans="1:18" s="114" customFormat="1" ht="48">
      <c r="A119" s="54" t="s">
        <v>978</v>
      </c>
      <c r="B119" s="519" t="s">
        <v>979</v>
      </c>
      <c r="C119" s="449"/>
      <c r="D119" s="449"/>
      <c r="E119" s="449"/>
      <c r="F119" s="449"/>
      <c r="G119" s="449"/>
      <c r="H119" s="449"/>
      <c r="I119" s="449" t="s">
        <v>1032</v>
      </c>
      <c r="J119" s="449" t="s">
        <v>68</v>
      </c>
      <c r="K119" s="450" t="s">
        <v>1033</v>
      </c>
      <c r="L119" s="100" t="s">
        <v>43</v>
      </c>
      <c r="M119" s="100" t="s">
        <v>41</v>
      </c>
      <c r="N119" s="110">
        <v>461.05</v>
      </c>
      <c r="O119" s="110">
        <v>461.05</v>
      </c>
      <c r="P119" s="110">
        <v>0</v>
      </c>
      <c r="Q119" s="110">
        <v>0</v>
      </c>
      <c r="R119" s="110">
        <v>0</v>
      </c>
    </row>
    <row r="120" spans="1:18" s="203" customFormat="1" ht="61.5" customHeight="1">
      <c r="A120" s="54" t="s">
        <v>1201</v>
      </c>
      <c r="B120" s="519" t="s">
        <v>1191</v>
      </c>
      <c r="C120" s="449"/>
      <c r="D120" s="449"/>
      <c r="E120" s="449"/>
      <c r="F120" s="449"/>
      <c r="G120" s="450"/>
      <c r="H120" s="449"/>
      <c r="I120" s="540" t="s">
        <v>1391</v>
      </c>
      <c r="J120" s="464" t="s">
        <v>68</v>
      </c>
      <c r="K120" s="464" t="s">
        <v>1388</v>
      </c>
      <c r="L120" s="519" t="s">
        <v>43</v>
      </c>
      <c r="M120" s="154" t="s">
        <v>41</v>
      </c>
      <c r="N120" s="89">
        <v>0</v>
      </c>
      <c r="O120" s="89">
        <v>0</v>
      </c>
      <c r="P120" s="89">
        <v>384.53899999999999</v>
      </c>
      <c r="Q120" s="89">
        <v>568.20000000000005</v>
      </c>
      <c r="R120" s="89">
        <v>0</v>
      </c>
    </row>
    <row r="121" spans="1:18" s="203" customFormat="1" ht="72.75" customHeight="1">
      <c r="A121" s="54" t="s">
        <v>1202</v>
      </c>
      <c r="B121" s="519" t="s">
        <v>1193</v>
      </c>
      <c r="C121" s="449"/>
      <c r="D121" s="449"/>
      <c r="E121" s="449"/>
      <c r="F121" s="449"/>
      <c r="G121" s="450"/>
      <c r="H121" s="449"/>
      <c r="I121" s="540"/>
      <c r="J121" s="464"/>
      <c r="K121" s="464"/>
      <c r="L121" s="519" t="s">
        <v>43</v>
      </c>
      <c r="M121" s="154" t="s">
        <v>41</v>
      </c>
      <c r="N121" s="89">
        <v>0</v>
      </c>
      <c r="O121" s="89">
        <v>0</v>
      </c>
      <c r="P121" s="89">
        <v>11.893000000000001</v>
      </c>
      <c r="Q121" s="89">
        <v>17.574000000000002</v>
      </c>
      <c r="R121" s="89">
        <v>0</v>
      </c>
    </row>
    <row r="122" spans="1:18" s="203" customFormat="1" ht="26.25" customHeight="1">
      <c r="A122" s="54" t="s">
        <v>1124</v>
      </c>
      <c r="B122" s="204"/>
      <c r="C122" s="460"/>
      <c r="D122" s="460"/>
      <c r="E122" s="460"/>
      <c r="F122" s="449"/>
      <c r="G122" s="460"/>
      <c r="H122" s="460"/>
      <c r="I122" s="460"/>
      <c r="J122" s="460"/>
      <c r="K122" s="460"/>
      <c r="L122" s="360"/>
      <c r="M122" s="360"/>
      <c r="N122" s="361"/>
      <c r="O122" s="361"/>
      <c r="P122" s="361"/>
      <c r="Q122" s="361"/>
      <c r="R122" s="361"/>
    </row>
    <row r="123" spans="1:18" s="203" customFormat="1" ht="60">
      <c r="A123" s="54"/>
      <c r="B123" s="519" t="s">
        <v>465</v>
      </c>
      <c r="C123" s="464"/>
      <c r="D123" s="464"/>
      <c r="E123" s="464"/>
      <c r="F123" s="449"/>
      <c r="G123" s="464"/>
      <c r="H123" s="464"/>
      <c r="I123" s="464" t="s">
        <v>872</v>
      </c>
      <c r="J123" s="464" t="s">
        <v>68</v>
      </c>
      <c r="K123" s="464" t="s">
        <v>873</v>
      </c>
      <c r="L123" s="100" t="s">
        <v>43</v>
      </c>
      <c r="M123" s="100" t="s">
        <v>41</v>
      </c>
      <c r="N123" s="110">
        <v>31.5</v>
      </c>
      <c r="O123" s="110">
        <v>31.5</v>
      </c>
      <c r="P123" s="110">
        <v>0</v>
      </c>
      <c r="Q123" s="110">
        <v>0</v>
      </c>
      <c r="R123" s="110">
        <v>0</v>
      </c>
    </row>
    <row r="124" spans="1:18" s="203" customFormat="1" ht="60">
      <c r="A124" s="54"/>
      <c r="B124" s="519" t="s">
        <v>480</v>
      </c>
      <c r="C124" s="464"/>
      <c r="D124" s="464"/>
      <c r="E124" s="464"/>
      <c r="F124" s="449"/>
      <c r="G124" s="464"/>
      <c r="H124" s="464"/>
      <c r="I124" s="464" t="s">
        <v>941</v>
      </c>
      <c r="J124" s="464" t="s">
        <v>68</v>
      </c>
      <c r="K124" s="464" t="s">
        <v>919</v>
      </c>
      <c r="L124" s="100" t="s">
        <v>43</v>
      </c>
      <c r="M124" s="100" t="s">
        <v>41</v>
      </c>
      <c r="N124" s="110">
        <v>150</v>
      </c>
      <c r="O124" s="110">
        <v>150</v>
      </c>
      <c r="P124" s="110">
        <v>0</v>
      </c>
      <c r="Q124" s="110">
        <v>0</v>
      </c>
      <c r="R124" s="110">
        <v>0</v>
      </c>
    </row>
    <row r="125" spans="1:18" s="114" customFormat="1" ht="60">
      <c r="A125" s="54"/>
      <c r="B125" s="519" t="s">
        <v>512</v>
      </c>
      <c r="C125" s="464"/>
      <c r="D125" s="464"/>
      <c r="E125" s="464"/>
      <c r="F125" s="464"/>
      <c r="G125" s="464"/>
      <c r="H125" s="464"/>
      <c r="I125" s="449" t="s">
        <v>1084</v>
      </c>
      <c r="J125" s="449" t="s">
        <v>68</v>
      </c>
      <c r="K125" s="449" t="s">
        <v>1085</v>
      </c>
      <c r="L125" s="100" t="s">
        <v>43</v>
      </c>
      <c r="M125" s="100" t="s">
        <v>41</v>
      </c>
      <c r="N125" s="110">
        <v>90</v>
      </c>
      <c r="O125" s="110">
        <v>90</v>
      </c>
      <c r="P125" s="110">
        <v>0</v>
      </c>
      <c r="Q125" s="110">
        <v>0</v>
      </c>
      <c r="R125" s="110">
        <v>0</v>
      </c>
    </row>
    <row r="126" spans="1:18" s="114" customFormat="1" ht="71.25" customHeight="1">
      <c r="A126" s="231" t="s">
        <v>614</v>
      </c>
      <c r="B126" s="176" t="s">
        <v>574</v>
      </c>
      <c r="C126" s="232"/>
      <c r="D126" s="232"/>
      <c r="E126" s="232"/>
      <c r="F126" s="232"/>
      <c r="G126" s="232"/>
      <c r="H126" s="233"/>
      <c r="I126" s="232"/>
      <c r="J126" s="232"/>
      <c r="K126" s="233"/>
      <c r="L126" s="72"/>
      <c r="M126" s="72"/>
      <c r="N126" s="282">
        <f>SUM(N127:N128)</f>
        <v>7579.1010000000006</v>
      </c>
      <c r="O126" s="282">
        <f>SUM(O127:O128)</f>
        <v>7579.0640000000003</v>
      </c>
      <c r="P126" s="282">
        <f>SUM(P127:P128)</f>
        <v>6720.9400000000005</v>
      </c>
      <c r="Q126" s="282">
        <f t="shared" ref="Q126:R126" si="15">SUM(Q127:Q128)</f>
        <v>7666.8</v>
      </c>
      <c r="R126" s="282">
        <f t="shared" si="15"/>
        <v>7666.8</v>
      </c>
    </row>
    <row r="127" spans="1:18" s="203" customFormat="1" ht="59.25" customHeight="1">
      <c r="A127" s="211"/>
      <c r="B127" s="460"/>
      <c r="C127" s="296" t="s">
        <v>355</v>
      </c>
      <c r="D127" s="357" t="s">
        <v>321</v>
      </c>
      <c r="E127" s="296" t="s">
        <v>60</v>
      </c>
      <c r="F127" s="595" t="s">
        <v>1284</v>
      </c>
      <c r="G127" s="539" t="s">
        <v>1285</v>
      </c>
      <c r="H127" s="539" t="s">
        <v>1345</v>
      </c>
      <c r="I127" s="449" t="s">
        <v>1015</v>
      </c>
      <c r="J127" s="449" t="s">
        <v>1016</v>
      </c>
      <c r="K127" s="450" t="s">
        <v>1017</v>
      </c>
      <c r="L127" s="518" t="s">
        <v>43</v>
      </c>
      <c r="M127" s="480" t="s">
        <v>43</v>
      </c>
      <c r="N127" s="125">
        <v>2849.8009999999999</v>
      </c>
      <c r="O127" s="125">
        <v>2849.8009999999999</v>
      </c>
      <c r="P127" s="125">
        <v>2937.5</v>
      </c>
      <c r="Q127" s="125">
        <v>2937.5</v>
      </c>
      <c r="R127" s="125">
        <v>2937.5</v>
      </c>
    </row>
    <row r="128" spans="1:18" s="203" customFormat="1" ht="58.5" customHeight="1">
      <c r="A128" s="211"/>
      <c r="B128" s="519" t="s">
        <v>331</v>
      </c>
      <c r="C128" s="460"/>
      <c r="D128" s="460"/>
      <c r="E128" s="460"/>
      <c r="F128" s="595"/>
      <c r="G128" s="539"/>
      <c r="H128" s="539"/>
      <c r="I128" s="449" t="s">
        <v>545</v>
      </c>
      <c r="J128" s="449" t="s">
        <v>68</v>
      </c>
      <c r="K128" s="450" t="s">
        <v>330</v>
      </c>
      <c r="L128" s="519"/>
      <c r="M128" s="154"/>
      <c r="N128" s="125">
        <v>4729.3</v>
      </c>
      <c r="O128" s="125">
        <v>4729.2629999999999</v>
      </c>
      <c r="P128" s="125">
        <v>3783.44</v>
      </c>
      <c r="Q128" s="125">
        <v>4729.3</v>
      </c>
      <c r="R128" s="125">
        <v>4729.3</v>
      </c>
    </row>
    <row r="129" spans="1:18" s="114" customFormat="1" ht="86.25" customHeight="1">
      <c r="A129" s="566" t="s">
        <v>615</v>
      </c>
      <c r="B129" s="562" t="s">
        <v>44</v>
      </c>
      <c r="C129" s="296" t="s">
        <v>355</v>
      </c>
      <c r="D129" s="297" t="s">
        <v>321</v>
      </c>
      <c r="E129" s="136" t="s">
        <v>60</v>
      </c>
      <c r="F129" s="136"/>
      <c r="G129" s="136"/>
      <c r="H129" s="187"/>
      <c r="I129" s="296" t="s">
        <v>810</v>
      </c>
      <c r="J129" s="182" t="s">
        <v>68</v>
      </c>
      <c r="K129" s="183" t="s">
        <v>308</v>
      </c>
      <c r="L129" s="457" t="s">
        <v>43</v>
      </c>
      <c r="M129" s="457" t="s">
        <v>38</v>
      </c>
      <c r="N129" s="382">
        <f>319.4+7.245</f>
        <v>326.64499999999998</v>
      </c>
      <c r="O129" s="382">
        <f>319.4+7.245</f>
        <v>326.64499999999998</v>
      </c>
      <c r="P129" s="382">
        <v>319.39999999999998</v>
      </c>
      <c r="Q129" s="382">
        <v>319.39999999999998</v>
      </c>
      <c r="R129" s="382">
        <v>319.39999999999998</v>
      </c>
    </row>
    <row r="130" spans="1:18" s="114" customFormat="1" ht="177.75" customHeight="1">
      <c r="A130" s="567"/>
      <c r="B130" s="563"/>
      <c r="C130" s="522"/>
      <c r="D130" s="522"/>
      <c r="E130" s="522"/>
      <c r="F130" s="522"/>
      <c r="G130" s="522"/>
      <c r="H130" s="201"/>
      <c r="I130" s="522"/>
      <c r="J130" s="522"/>
      <c r="K130" s="201"/>
      <c r="L130" s="458" t="s">
        <v>43</v>
      </c>
      <c r="M130" s="458" t="s">
        <v>41</v>
      </c>
      <c r="N130" s="282">
        <v>504.8</v>
      </c>
      <c r="O130" s="282">
        <v>504.8</v>
      </c>
      <c r="P130" s="282">
        <v>506.6</v>
      </c>
      <c r="Q130" s="282">
        <v>506.6</v>
      </c>
      <c r="R130" s="282">
        <v>506.6</v>
      </c>
    </row>
    <row r="131" spans="1:18" s="115" customFormat="1" ht="108.75" hidden="1" customHeight="1">
      <c r="A131" s="566" t="s">
        <v>616</v>
      </c>
      <c r="B131" s="467">
        <v>1025</v>
      </c>
      <c r="C131" s="477" t="s">
        <v>56</v>
      </c>
      <c r="D131" s="477" t="s">
        <v>356</v>
      </c>
      <c r="E131" s="477" t="s">
        <v>57</v>
      </c>
      <c r="F131" s="568" t="s">
        <v>103</v>
      </c>
      <c r="G131" s="461" t="s">
        <v>70</v>
      </c>
      <c r="H131" s="461" t="s">
        <v>104</v>
      </c>
      <c r="I131" s="136" t="s">
        <v>105</v>
      </c>
      <c r="J131" s="136" t="s">
        <v>68</v>
      </c>
      <c r="K131" s="187" t="s">
        <v>106</v>
      </c>
      <c r="L131" s="457" t="s">
        <v>38</v>
      </c>
      <c r="M131" s="457" t="s">
        <v>36</v>
      </c>
      <c r="N131" s="37">
        <v>0</v>
      </c>
      <c r="O131" s="37"/>
      <c r="P131" s="37">
        <v>0</v>
      </c>
      <c r="Q131" s="37"/>
      <c r="R131" s="179">
        <v>0</v>
      </c>
    </row>
    <row r="132" spans="1:18" s="115" customFormat="1" ht="97.5" hidden="1" customHeight="1">
      <c r="A132" s="567"/>
      <c r="B132" s="473"/>
      <c r="C132" s="478"/>
      <c r="D132" s="478"/>
      <c r="E132" s="478"/>
      <c r="F132" s="569"/>
      <c r="G132" s="462"/>
      <c r="H132" s="462"/>
      <c r="I132" s="522" t="s">
        <v>107</v>
      </c>
      <c r="J132" s="522" t="s">
        <v>68</v>
      </c>
      <c r="K132" s="201" t="s">
        <v>108</v>
      </c>
      <c r="L132" s="468"/>
      <c r="M132" s="468"/>
      <c r="N132" s="55"/>
      <c r="O132" s="55"/>
      <c r="P132" s="55"/>
      <c r="Q132" s="55"/>
      <c r="R132" s="92"/>
    </row>
    <row r="133" spans="1:18" s="115" customFormat="1" ht="13.5" customHeight="1">
      <c r="A133" s="566" t="s">
        <v>617</v>
      </c>
      <c r="B133" s="468">
        <v>1026</v>
      </c>
      <c r="C133" s="453"/>
      <c r="D133" s="453"/>
      <c r="E133" s="453"/>
      <c r="F133" s="474"/>
      <c r="G133" s="474"/>
      <c r="H133" s="474"/>
      <c r="I133" s="521"/>
      <c r="J133" s="521"/>
      <c r="K133" s="328"/>
      <c r="L133" s="484"/>
      <c r="M133" s="484"/>
      <c r="N133" s="97">
        <f>SUM(N134:N139)</f>
        <v>6892.1</v>
      </c>
      <c r="O133" s="97">
        <f>SUM(O134:O139)</f>
        <v>2733.7</v>
      </c>
      <c r="P133" s="97">
        <f>SUM(P134:P143)</f>
        <v>13169.893</v>
      </c>
      <c r="Q133" s="97">
        <f t="shared" ref="Q133:R133" si="16">SUM(Q134:Q143)</f>
        <v>1602.2</v>
      </c>
      <c r="R133" s="97">
        <f t="shared" si="16"/>
        <v>3092.2</v>
      </c>
    </row>
    <row r="134" spans="1:18" s="115" customFormat="1" ht="71.25" customHeight="1">
      <c r="A134" s="580"/>
      <c r="B134" s="572"/>
      <c r="C134" s="549" t="s">
        <v>56</v>
      </c>
      <c r="D134" s="549" t="s">
        <v>102</v>
      </c>
      <c r="E134" s="549" t="s">
        <v>57</v>
      </c>
      <c r="F134" s="549" t="s">
        <v>31</v>
      </c>
      <c r="G134" s="549" t="s">
        <v>31</v>
      </c>
      <c r="H134" s="549" t="s">
        <v>31</v>
      </c>
      <c r="I134" s="447" t="s">
        <v>98</v>
      </c>
      <c r="J134" s="447" t="s">
        <v>99</v>
      </c>
      <c r="K134" s="447" t="s">
        <v>100</v>
      </c>
      <c r="L134" s="447" t="s">
        <v>35</v>
      </c>
      <c r="M134" s="447" t="s">
        <v>41</v>
      </c>
      <c r="N134" s="20">
        <f>769.4+1138.7+600+0.1+300</f>
        <v>2808.2</v>
      </c>
      <c r="O134" s="20">
        <f>0+1138.7+600+0.1+0</f>
        <v>1738.8</v>
      </c>
      <c r="P134" s="20">
        <f>2862.193+1164+170+25</f>
        <v>4221.1930000000002</v>
      </c>
      <c r="Q134" s="20">
        <v>1602.2</v>
      </c>
      <c r="R134" s="170">
        <v>3092.2</v>
      </c>
    </row>
    <row r="135" spans="1:18" s="115" customFormat="1" ht="38.25" customHeight="1">
      <c r="A135" s="580"/>
      <c r="B135" s="573"/>
      <c r="C135" s="564"/>
      <c r="D135" s="564"/>
      <c r="E135" s="564"/>
      <c r="F135" s="564"/>
      <c r="G135" s="564"/>
      <c r="H135" s="564"/>
      <c r="I135" s="459" t="s">
        <v>518</v>
      </c>
      <c r="J135" s="459" t="s">
        <v>68</v>
      </c>
      <c r="K135" s="459" t="s">
        <v>519</v>
      </c>
      <c r="L135" s="459"/>
      <c r="M135" s="459"/>
      <c r="N135" s="56"/>
      <c r="O135" s="56"/>
      <c r="P135" s="56"/>
      <c r="Q135" s="56"/>
      <c r="R135" s="172"/>
    </row>
    <row r="136" spans="1:18" s="115" customFormat="1" ht="72">
      <c r="A136" s="456"/>
      <c r="B136" s="468"/>
      <c r="C136" s="459"/>
      <c r="D136" s="459"/>
      <c r="E136" s="459"/>
      <c r="F136" s="459"/>
      <c r="G136" s="459"/>
      <c r="H136" s="459"/>
      <c r="I136" s="459" t="s">
        <v>1018</v>
      </c>
      <c r="J136" s="459" t="s">
        <v>68</v>
      </c>
      <c r="K136" s="459" t="s">
        <v>1019</v>
      </c>
      <c r="L136" s="459"/>
      <c r="M136" s="459"/>
      <c r="N136" s="56"/>
      <c r="O136" s="56"/>
      <c r="P136" s="56"/>
      <c r="Q136" s="56"/>
      <c r="R136" s="172"/>
    </row>
    <row r="137" spans="1:18" s="115" customFormat="1" ht="96">
      <c r="A137" s="456"/>
      <c r="B137" s="468"/>
      <c r="C137" s="459"/>
      <c r="D137" s="459"/>
      <c r="E137" s="459"/>
      <c r="F137" s="459"/>
      <c r="G137" s="459"/>
      <c r="H137" s="459"/>
      <c r="I137" s="459" t="s">
        <v>1103</v>
      </c>
      <c r="J137" s="459" t="s">
        <v>68</v>
      </c>
      <c r="K137" s="459" t="s">
        <v>1104</v>
      </c>
      <c r="L137" s="459"/>
      <c r="M137" s="459"/>
      <c r="N137" s="56"/>
      <c r="O137" s="56"/>
      <c r="P137" s="56"/>
      <c r="Q137" s="56"/>
      <c r="R137" s="172"/>
    </row>
    <row r="138" spans="1:18" s="114" customFormat="1" ht="85.5" customHeight="1">
      <c r="A138" s="444"/>
      <c r="B138" s="509" t="s">
        <v>894</v>
      </c>
      <c r="C138" s="459"/>
      <c r="D138" s="459"/>
      <c r="E138" s="459"/>
      <c r="F138" s="459"/>
      <c r="G138" s="459"/>
      <c r="H138" s="459"/>
      <c r="I138" s="459" t="s">
        <v>1031</v>
      </c>
      <c r="J138" s="459" t="s">
        <v>68</v>
      </c>
      <c r="K138" s="459" t="s">
        <v>1030</v>
      </c>
      <c r="L138" s="459"/>
      <c r="M138" s="459"/>
      <c r="N138" s="53">
        <v>999.9</v>
      </c>
      <c r="O138" s="53">
        <v>994.9</v>
      </c>
      <c r="P138" s="53">
        <v>0</v>
      </c>
      <c r="Q138" s="53">
        <v>0</v>
      </c>
      <c r="R138" s="171">
        <v>0</v>
      </c>
    </row>
    <row r="139" spans="1:18" s="114" customFormat="1" ht="84.75" customHeight="1">
      <c r="A139" s="444"/>
      <c r="B139" s="509" t="s">
        <v>886</v>
      </c>
      <c r="C139" s="459"/>
      <c r="D139" s="459"/>
      <c r="E139" s="459"/>
      <c r="F139" s="459"/>
      <c r="G139" s="459"/>
      <c r="H139" s="459"/>
      <c r="I139" s="459" t="s">
        <v>938</v>
      </c>
      <c r="J139" s="459" t="s">
        <v>68</v>
      </c>
      <c r="K139" s="459" t="s">
        <v>934</v>
      </c>
      <c r="L139" s="459"/>
      <c r="M139" s="459"/>
      <c r="N139" s="53">
        <v>3084</v>
      </c>
      <c r="O139" s="53">
        <v>0</v>
      </c>
      <c r="P139" s="53">
        <v>0</v>
      </c>
      <c r="Q139" s="53">
        <v>0</v>
      </c>
      <c r="R139" s="171">
        <v>0</v>
      </c>
    </row>
    <row r="140" spans="1:18" s="114" customFormat="1" ht="66.75" customHeight="1">
      <c r="A140" s="444"/>
      <c r="B140" s="509" t="s">
        <v>1175</v>
      </c>
      <c r="C140" s="459"/>
      <c r="D140" s="459"/>
      <c r="E140" s="459"/>
      <c r="F140" s="564" t="s">
        <v>1362</v>
      </c>
      <c r="G140" s="564" t="s">
        <v>1363</v>
      </c>
      <c r="H140" s="564" t="s">
        <v>1345</v>
      </c>
      <c r="I140" s="464" t="s">
        <v>91</v>
      </c>
      <c r="J140" s="464" t="s">
        <v>68</v>
      </c>
      <c r="K140" s="464" t="s">
        <v>71</v>
      </c>
      <c r="L140" s="459"/>
      <c r="M140" s="459"/>
      <c r="N140" s="53">
        <v>0</v>
      </c>
      <c r="O140" s="53">
        <v>0</v>
      </c>
      <c r="P140" s="53">
        <v>2695.7</v>
      </c>
      <c r="Q140" s="53">
        <v>0</v>
      </c>
      <c r="R140" s="171">
        <v>0</v>
      </c>
    </row>
    <row r="141" spans="1:18" s="114" customFormat="1" ht="66.75" customHeight="1">
      <c r="A141" s="444"/>
      <c r="B141" s="509" t="s">
        <v>1174</v>
      </c>
      <c r="C141" s="459"/>
      <c r="D141" s="459"/>
      <c r="E141" s="459"/>
      <c r="F141" s="564"/>
      <c r="G141" s="564"/>
      <c r="H141" s="564"/>
      <c r="I141" s="459"/>
      <c r="J141" s="459"/>
      <c r="K141" s="459"/>
      <c r="L141" s="459"/>
      <c r="M141" s="459"/>
      <c r="N141" s="53">
        <v>0</v>
      </c>
      <c r="O141" s="53">
        <v>0</v>
      </c>
      <c r="P141" s="53">
        <v>1237.5</v>
      </c>
      <c r="Q141" s="53">
        <v>0</v>
      </c>
      <c r="R141" s="171">
        <v>0</v>
      </c>
    </row>
    <row r="142" spans="1:18" s="114" customFormat="1" ht="24.75" customHeight="1">
      <c r="A142" s="444"/>
      <c r="B142" s="509" t="s">
        <v>1406</v>
      </c>
      <c r="C142" s="459"/>
      <c r="D142" s="459"/>
      <c r="E142" s="459"/>
      <c r="F142" s="459"/>
      <c r="G142" s="459"/>
      <c r="H142" s="459"/>
      <c r="I142" s="459"/>
      <c r="J142" s="459"/>
      <c r="K142" s="459"/>
      <c r="L142" s="459"/>
      <c r="M142" s="459"/>
      <c r="N142" s="53">
        <v>0</v>
      </c>
      <c r="O142" s="53">
        <v>0</v>
      </c>
      <c r="P142" s="53">
        <v>3015.5</v>
      </c>
      <c r="Q142" s="53">
        <v>0</v>
      </c>
      <c r="R142" s="171">
        <v>0</v>
      </c>
    </row>
    <row r="143" spans="1:18" s="114" customFormat="1" ht="24.75" customHeight="1">
      <c r="A143" s="471"/>
      <c r="B143" s="72" t="s">
        <v>1407</v>
      </c>
      <c r="C143" s="448"/>
      <c r="D143" s="448"/>
      <c r="E143" s="448"/>
      <c r="F143" s="448"/>
      <c r="G143" s="448"/>
      <c r="H143" s="448"/>
      <c r="I143" s="448"/>
      <c r="J143" s="448"/>
      <c r="K143" s="448"/>
      <c r="L143" s="448"/>
      <c r="M143" s="448"/>
      <c r="N143" s="58">
        <v>0</v>
      </c>
      <c r="O143" s="58">
        <v>0</v>
      </c>
      <c r="P143" s="58">
        <v>2000</v>
      </c>
      <c r="Q143" s="58">
        <v>0</v>
      </c>
      <c r="R143" s="173">
        <v>0</v>
      </c>
    </row>
    <row r="144" spans="1:18" s="115" customFormat="1" ht="108.75" customHeight="1">
      <c r="A144" s="37" t="s">
        <v>859</v>
      </c>
      <c r="B144" s="467" t="s">
        <v>860</v>
      </c>
      <c r="C144" s="447"/>
      <c r="D144" s="447"/>
      <c r="E144" s="447"/>
      <c r="F144" s="52"/>
      <c r="G144" s="52"/>
      <c r="H144" s="52"/>
      <c r="I144" s="447"/>
      <c r="J144" s="447"/>
      <c r="K144" s="447"/>
      <c r="L144" s="508" t="s">
        <v>37</v>
      </c>
      <c r="M144" s="156" t="s">
        <v>25</v>
      </c>
      <c r="N144" s="164">
        <v>0</v>
      </c>
      <c r="O144" s="164">
        <v>0</v>
      </c>
      <c r="P144" s="164">
        <v>0</v>
      </c>
      <c r="Q144" s="164">
        <v>0</v>
      </c>
      <c r="R144" s="164">
        <v>0</v>
      </c>
    </row>
    <row r="145" spans="1:18" s="115" customFormat="1" ht="36.75" customHeight="1">
      <c r="A145" s="37" t="s">
        <v>618</v>
      </c>
      <c r="B145" s="467">
        <v>1029</v>
      </c>
      <c r="C145" s="467"/>
      <c r="D145" s="467"/>
      <c r="E145" s="467"/>
      <c r="F145" s="37"/>
      <c r="G145" s="37"/>
      <c r="H145" s="37"/>
      <c r="I145" s="467"/>
      <c r="J145" s="467"/>
      <c r="K145" s="467"/>
      <c r="L145" s="467"/>
      <c r="M145" s="511"/>
      <c r="N145" s="164">
        <f>SUM(N147:N149)</f>
        <v>4007.893</v>
      </c>
      <c r="O145" s="164">
        <f>SUM(O147:O149)</f>
        <v>3999.6759999999999</v>
      </c>
      <c r="P145" s="164">
        <f>SUM(P147:P151)</f>
        <v>3911.2</v>
      </c>
      <c r="Q145" s="164">
        <f t="shared" ref="Q145:R145" si="17">SUM(Q147:Q151)</f>
        <v>2450.1</v>
      </c>
      <c r="R145" s="164">
        <f t="shared" si="17"/>
        <v>2450.1</v>
      </c>
    </row>
    <row r="146" spans="1:18" s="115" customFormat="1" ht="14.25" customHeight="1">
      <c r="A146" s="79" t="s">
        <v>97</v>
      </c>
      <c r="B146" s="493"/>
      <c r="C146" s="493"/>
      <c r="D146" s="493"/>
      <c r="E146" s="493"/>
      <c r="F146" s="69"/>
      <c r="G146" s="69"/>
      <c r="H146" s="69"/>
      <c r="I146" s="493"/>
      <c r="J146" s="493"/>
      <c r="K146" s="493"/>
      <c r="L146" s="80"/>
      <c r="M146" s="511"/>
      <c r="N146" s="164"/>
      <c r="O146" s="164"/>
      <c r="P146" s="164"/>
      <c r="Q146" s="164"/>
      <c r="R146" s="164"/>
    </row>
    <row r="147" spans="1:18" s="114" customFormat="1" ht="38.25" customHeight="1">
      <c r="A147" s="576"/>
      <c r="B147" s="459"/>
      <c r="C147" s="585" t="s">
        <v>56</v>
      </c>
      <c r="D147" s="543" t="s">
        <v>109</v>
      </c>
      <c r="E147" s="543" t="s">
        <v>57</v>
      </c>
      <c r="F147" s="452"/>
      <c r="G147" s="452"/>
      <c r="H147" s="452"/>
      <c r="I147" s="452" t="s">
        <v>110</v>
      </c>
      <c r="J147" s="452" t="s">
        <v>68</v>
      </c>
      <c r="K147" s="16" t="s">
        <v>60</v>
      </c>
      <c r="L147" s="447" t="s">
        <v>32</v>
      </c>
      <c r="M147" s="506" t="s">
        <v>26</v>
      </c>
      <c r="N147" s="63">
        <f>2757.13-130.337</f>
        <v>2626.7930000000001</v>
      </c>
      <c r="O147" s="63">
        <f>2748.913-130.337</f>
        <v>2618.576</v>
      </c>
      <c r="P147" s="63">
        <f>2400.6+29.5</f>
        <v>2430.1</v>
      </c>
      <c r="Q147" s="63">
        <v>2450.1</v>
      </c>
      <c r="R147" s="63">
        <v>2450.1</v>
      </c>
    </row>
    <row r="148" spans="1:18" s="114" customFormat="1" ht="84" customHeight="1">
      <c r="A148" s="545"/>
      <c r="B148" s="459"/>
      <c r="C148" s="586"/>
      <c r="D148" s="551"/>
      <c r="E148" s="551"/>
      <c r="F148" s="452"/>
      <c r="G148" s="452"/>
      <c r="H148" s="452"/>
      <c r="I148" s="452" t="s">
        <v>1286</v>
      </c>
      <c r="J148" s="452" t="s">
        <v>68</v>
      </c>
      <c r="K148" s="16" t="s">
        <v>448</v>
      </c>
      <c r="L148" s="459"/>
      <c r="M148" s="507"/>
      <c r="N148" s="47"/>
      <c r="O148" s="47"/>
      <c r="P148" s="47"/>
      <c r="Q148" s="47"/>
      <c r="R148" s="47"/>
    </row>
    <row r="149" spans="1:18" s="114" customFormat="1" ht="47.25" customHeight="1">
      <c r="A149" s="444"/>
      <c r="B149" s="459"/>
      <c r="C149" s="453"/>
      <c r="D149" s="453"/>
      <c r="E149" s="453"/>
      <c r="F149" s="466"/>
      <c r="G149" s="452"/>
      <c r="H149" s="452"/>
      <c r="I149" s="452" t="s">
        <v>91</v>
      </c>
      <c r="J149" s="452" t="s">
        <v>68</v>
      </c>
      <c r="K149" s="16" t="s">
        <v>71</v>
      </c>
      <c r="L149" s="592" t="s">
        <v>40</v>
      </c>
      <c r="M149" s="620" t="s">
        <v>32</v>
      </c>
      <c r="N149" s="645">
        <v>1381.1</v>
      </c>
      <c r="O149" s="648">
        <v>1381.1</v>
      </c>
      <c r="P149" s="645">
        <v>968.1</v>
      </c>
      <c r="Q149" s="645">
        <v>0</v>
      </c>
      <c r="R149" s="645">
        <v>0</v>
      </c>
    </row>
    <row r="150" spans="1:18" s="114" customFormat="1" ht="95.25" customHeight="1">
      <c r="A150" s="45"/>
      <c r="B150" s="509" t="s">
        <v>135</v>
      </c>
      <c r="C150" s="81"/>
      <c r="D150" s="81"/>
      <c r="E150" s="81"/>
      <c r="F150" s="419" t="s">
        <v>1287</v>
      </c>
      <c r="G150" s="459" t="s">
        <v>1288</v>
      </c>
      <c r="H150" s="474" t="s">
        <v>1345</v>
      </c>
      <c r="I150" s="453" t="s">
        <v>1439</v>
      </c>
      <c r="J150" s="453" t="s">
        <v>68</v>
      </c>
      <c r="K150" s="453" t="s">
        <v>1238</v>
      </c>
      <c r="L150" s="593"/>
      <c r="M150" s="647"/>
      <c r="N150" s="646"/>
      <c r="O150" s="649"/>
      <c r="P150" s="646"/>
      <c r="Q150" s="646"/>
      <c r="R150" s="646"/>
    </row>
    <row r="151" spans="1:18" s="114" customFormat="1" ht="16.5" customHeight="1">
      <c r="A151" s="48"/>
      <c r="B151" s="72" t="s">
        <v>987</v>
      </c>
      <c r="C151" s="91"/>
      <c r="D151" s="91"/>
      <c r="E151" s="91"/>
      <c r="F151" s="462"/>
      <c r="G151" s="462"/>
      <c r="H151" s="462"/>
      <c r="I151" s="478"/>
      <c r="J151" s="478"/>
      <c r="K151" s="478"/>
      <c r="L151" s="482"/>
      <c r="M151" s="483"/>
      <c r="N151" s="386"/>
      <c r="O151" s="387"/>
      <c r="P151" s="386">
        <v>513</v>
      </c>
      <c r="Q151" s="386"/>
      <c r="R151" s="388"/>
    </row>
    <row r="152" spans="1:18" s="115" customFormat="1" ht="31.5" customHeight="1">
      <c r="A152" s="566" t="s">
        <v>1408</v>
      </c>
      <c r="B152" s="457" t="s">
        <v>1409</v>
      </c>
      <c r="C152" s="193"/>
      <c r="D152" s="193"/>
      <c r="E152" s="193"/>
      <c r="F152" s="194"/>
      <c r="G152" s="194"/>
      <c r="H152" s="194"/>
      <c r="I152" s="195"/>
      <c r="J152" s="195"/>
      <c r="K152" s="195"/>
      <c r="L152" s="196"/>
      <c r="M152" s="197"/>
      <c r="N152" s="198">
        <f>SUM(N153:N156)</f>
        <v>0</v>
      </c>
      <c r="O152" s="198">
        <f t="shared" ref="O152:R152" si="18">SUM(O153:O156)</f>
        <v>0</v>
      </c>
      <c r="P152" s="198">
        <f t="shared" si="18"/>
        <v>58173.002999999997</v>
      </c>
      <c r="Q152" s="198">
        <f t="shared" si="18"/>
        <v>83608.7</v>
      </c>
      <c r="R152" s="198">
        <f t="shared" si="18"/>
        <v>0</v>
      </c>
    </row>
    <row r="153" spans="1:18" s="115" customFormat="1" ht="40.5" customHeight="1">
      <c r="A153" s="580"/>
      <c r="B153" s="509" t="s">
        <v>1164</v>
      </c>
      <c r="C153" s="549" t="s">
        <v>56</v>
      </c>
      <c r="D153" s="549" t="s">
        <v>1468</v>
      </c>
      <c r="E153" s="549" t="s">
        <v>57</v>
      </c>
      <c r="F153" s="424"/>
      <c r="G153" s="424"/>
      <c r="H153" s="424"/>
      <c r="I153" s="667" t="s">
        <v>1467</v>
      </c>
      <c r="J153" s="667" t="s">
        <v>68</v>
      </c>
      <c r="K153" s="667" t="s">
        <v>1451</v>
      </c>
      <c r="L153" s="425" t="s">
        <v>37</v>
      </c>
      <c r="M153" s="426" t="s">
        <v>35</v>
      </c>
      <c r="N153" s="530">
        <v>0</v>
      </c>
      <c r="O153" s="530">
        <v>0</v>
      </c>
      <c r="P153" s="530">
        <v>13548.503000000001</v>
      </c>
      <c r="Q153" s="530">
        <v>0</v>
      </c>
      <c r="R153" s="531">
        <v>0</v>
      </c>
    </row>
    <row r="154" spans="1:18" s="115" customFormat="1" ht="40.5" customHeight="1">
      <c r="A154" s="580"/>
      <c r="B154" s="509" t="s">
        <v>1410</v>
      </c>
      <c r="C154" s="564"/>
      <c r="D154" s="564"/>
      <c r="E154" s="564"/>
      <c r="F154" s="474"/>
      <c r="G154" s="474"/>
      <c r="H154" s="474"/>
      <c r="I154" s="668"/>
      <c r="J154" s="668"/>
      <c r="K154" s="668"/>
      <c r="L154" s="425" t="s">
        <v>37</v>
      </c>
      <c r="M154" s="426" t="s">
        <v>35</v>
      </c>
      <c r="N154" s="530">
        <v>0</v>
      </c>
      <c r="O154" s="530">
        <v>0</v>
      </c>
      <c r="P154" s="530">
        <v>34133.300000000003</v>
      </c>
      <c r="Q154" s="530">
        <v>69395.199999999997</v>
      </c>
      <c r="R154" s="531">
        <v>0</v>
      </c>
    </row>
    <row r="155" spans="1:18" s="115" customFormat="1" ht="40.5" customHeight="1">
      <c r="A155" s="580"/>
      <c r="B155" s="509" t="s">
        <v>1411</v>
      </c>
      <c r="C155" s="564"/>
      <c r="D155" s="564"/>
      <c r="E155" s="564"/>
      <c r="F155" s="474"/>
      <c r="G155" s="474"/>
      <c r="H155" s="474"/>
      <c r="I155" s="669"/>
      <c r="J155" s="669"/>
      <c r="K155" s="669"/>
      <c r="L155" s="425" t="s">
        <v>37</v>
      </c>
      <c r="M155" s="426" t="s">
        <v>35</v>
      </c>
      <c r="N155" s="530">
        <v>0</v>
      </c>
      <c r="O155" s="530">
        <v>0</v>
      </c>
      <c r="P155" s="530">
        <v>6991.2</v>
      </c>
      <c r="Q155" s="532">
        <v>14213.5</v>
      </c>
      <c r="R155" s="531">
        <v>0</v>
      </c>
    </row>
    <row r="156" spans="1:18" s="115" customFormat="1" ht="60" customHeight="1">
      <c r="A156" s="580"/>
      <c r="B156" s="509" t="s">
        <v>1355</v>
      </c>
      <c r="C156" s="550"/>
      <c r="D156" s="550"/>
      <c r="E156" s="550"/>
      <c r="F156" s="462"/>
      <c r="G156" s="462"/>
      <c r="H156" s="462"/>
      <c r="I156" s="526" t="s">
        <v>1465</v>
      </c>
      <c r="J156" s="526" t="s">
        <v>68</v>
      </c>
      <c r="K156" s="526" t="s">
        <v>1466</v>
      </c>
      <c r="L156" s="425" t="s">
        <v>37</v>
      </c>
      <c r="M156" s="426" t="s">
        <v>23</v>
      </c>
      <c r="N156" s="530">
        <v>0</v>
      </c>
      <c r="O156" s="530">
        <v>0</v>
      </c>
      <c r="P156" s="530">
        <v>3500</v>
      </c>
      <c r="Q156" s="530">
        <v>0</v>
      </c>
      <c r="R156" s="531">
        <v>0</v>
      </c>
    </row>
    <row r="157" spans="1:18" s="115" customFormat="1" ht="60">
      <c r="A157" s="37" t="s">
        <v>619</v>
      </c>
      <c r="B157" s="467">
        <v>1034</v>
      </c>
      <c r="C157" s="37" t="s">
        <v>31</v>
      </c>
      <c r="D157" s="37" t="s">
        <v>31</v>
      </c>
      <c r="E157" s="37" t="s">
        <v>31</v>
      </c>
      <c r="F157" s="37" t="s">
        <v>31</v>
      </c>
      <c r="G157" s="37" t="s">
        <v>31</v>
      </c>
      <c r="H157" s="37" t="s">
        <v>31</v>
      </c>
      <c r="I157" s="37" t="s">
        <v>31</v>
      </c>
      <c r="J157" s="37" t="s">
        <v>31</v>
      </c>
      <c r="K157" s="37" t="s">
        <v>31</v>
      </c>
      <c r="L157" s="467" t="s">
        <v>40</v>
      </c>
      <c r="M157" s="511" t="s">
        <v>32</v>
      </c>
      <c r="N157" s="163">
        <f>SUM(N158:N174)</f>
        <v>66556.373000000021</v>
      </c>
      <c r="O157" s="163">
        <f>SUM(O158:O174)</f>
        <v>66372.648000000016</v>
      </c>
      <c r="P157" s="163">
        <f>SUM(P158:P174)</f>
        <v>54753.5815</v>
      </c>
      <c r="Q157" s="163">
        <f t="shared" ref="Q157:R157" si="19">SUM(Q158:Q174)</f>
        <v>4453</v>
      </c>
      <c r="R157" s="163">
        <f t="shared" si="19"/>
        <v>4627.8999999999996</v>
      </c>
    </row>
    <row r="158" spans="1:18" s="114" customFormat="1" ht="110.25" customHeight="1">
      <c r="A158" s="52" t="s">
        <v>827</v>
      </c>
      <c r="B158" s="447"/>
      <c r="C158" s="447" t="s">
        <v>56</v>
      </c>
      <c r="D158" s="447" t="s">
        <v>111</v>
      </c>
      <c r="E158" s="447" t="s">
        <v>57</v>
      </c>
      <c r="F158" s="447" t="s">
        <v>834</v>
      </c>
      <c r="G158" s="447" t="s">
        <v>112</v>
      </c>
      <c r="H158" s="447" t="s">
        <v>113</v>
      </c>
      <c r="I158" s="136" t="s">
        <v>1074</v>
      </c>
      <c r="J158" s="136" t="s">
        <v>68</v>
      </c>
      <c r="K158" s="187" t="s">
        <v>71</v>
      </c>
      <c r="L158" s="447" t="s">
        <v>40</v>
      </c>
      <c r="M158" s="506" t="s">
        <v>32</v>
      </c>
      <c r="N158" s="63">
        <f>5023.381+3176.974+965.5+531.218</f>
        <v>9697.0730000000003</v>
      </c>
      <c r="O158" s="63">
        <f>5023.381+3176.974+965.5+531.218</f>
        <v>9697.0730000000003</v>
      </c>
      <c r="P158" s="63">
        <f>18659.34+984.283/2+21.8+1851.8+450.6</f>
        <v>21475.681499999999</v>
      </c>
      <c r="Q158" s="63">
        <v>2634.6</v>
      </c>
      <c r="R158" s="63">
        <v>2809.5</v>
      </c>
    </row>
    <row r="159" spans="1:18" s="114" customFormat="1" ht="119.25" customHeight="1">
      <c r="A159" s="45"/>
      <c r="B159" s="459"/>
      <c r="C159" s="459" t="s">
        <v>457</v>
      </c>
      <c r="D159" s="459" t="s">
        <v>528</v>
      </c>
      <c r="E159" s="459" t="s">
        <v>458</v>
      </c>
      <c r="F159" s="459"/>
      <c r="G159" s="459"/>
      <c r="H159" s="459"/>
      <c r="I159" s="521" t="s">
        <v>1290</v>
      </c>
      <c r="J159" s="521" t="s">
        <v>68</v>
      </c>
      <c r="K159" s="9" t="s">
        <v>441</v>
      </c>
      <c r="L159" s="459"/>
      <c r="M159" s="507"/>
      <c r="N159" s="47"/>
      <c r="O159" s="47"/>
      <c r="P159" s="47"/>
      <c r="Q159" s="47"/>
      <c r="R159" s="47"/>
    </row>
    <row r="160" spans="1:18" s="114" customFormat="1" ht="37.5" customHeight="1">
      <c r="A160" s="45"/>
      <c r="B160" s="459"/>
      <c r="C160" s="459"/>
      <c r="D160" s="459"/>
      <c r="E160" s="459"/>
      <c r="F160" s="459"/>
      <c r="G160" s="459"/>
      <c r="H160" s="459"/>
      <c r="I160" s="521" t="s">
        <v>491</v>
      </c>
      <c r="J160" s="521" t="s">
        <v>68</v>
      </c>
      <c r="K160" s="9" t="s">
        <v>492</v>
      </c>
      <c r="L160" s="459"/>
      <c r="M160" s="507"/>
      <c r="N160" s="47"/>
      <c r="O160" s="47"/>
      <c r="P160" s="47"/>
      <c r="Q160" s="47"/>
      <c r="R160" s="47"/>
    </row>
    <row r="161" spans="1:18" s="114" customFormat="1" ht="71.25" customHeight="1">
      <c r="A161" s="45"/>
      <c r="B161" s="459"/>
      <c r="C161" s="459"/>
      <c r="D161" s="459"/>
      <c r="E161" s="459"/>
      <c r="F161" s="459"/>
      <c r="G161" s="459"/>
      <c r="H161" s="459"/>
      <c r="I161" s="7" t="s">
        <v>442</v>
      </c>
      <c r="J161" s="521" t="s">
        <v>68</v>
      </c>
      <c r="K161" s="9" t="s">
        <v>443</v>
      </c>
      <c r="L161" s="459"/>
      <c r="M161" s="459"/>
      <c r="N161" s="53"/>
      <c r="O161" s="53"/>
      <c r="P161" s="53"/>
      <c r="Q161" s="53"/>
      <c r="R161" s="171"/>
    </row>
    <row r="162" spans="1:18" s="114" customFormat="1" ht="108.75" hidden="1" customHeight="1">
      <c r="A162" s="45"/>
      <c r="B162" s="459"/>
      <c r="C162" s="45"/>
      <c r="D162" s="45"/>
      <c r="E162" s="45"/>
      <c r="F162" s="45"/>
      <c r="G162" s="45"/>
      <c r="H162" s="45"/>
      <c r="I162" s="7" t="s">
        <v>114</v>
      </c>
      <c r="J162" s="7" t="s">
        <v>68</v>
      </c>
      <c r="K162" s="8" t="s">
        <v>115</v>
      </c>
      <c r="L162" s="459" t="s">
        <v>40</v>
      </c>
      <c r="M162" s="459" t="s">
        <v>32</v>
      </c>
      <c r="N162" s="53">
        <v>0</v>
      </c>
      <c r="O162" s="53"/>
      <c r="P162" s="53"/>
      <c r="Q162" s="53"/>
      <c r="R162" s="171"/>
    </row>
    <row r="163" spans="1:18" s="114" customFormat="1" ht="96">
      <c r="A163" s="45"/>
      <c r="B163" s="459"/>
      <c r="C163" s="45"/>
      <c r="D163" s="45"/>
      <c r="E163" s="45"/>
      <c r="F163" s="45"/>
      <c r="G163" s="45"/>
      <c r="H163" s="45"/>
      <c r="I163" s="7" t="s">
        <v>1291</v>
      </c>
      <c r="J163" s="521" t="s">
        <v>68</v>
      </c>
      <c r="K163" s="9" t="s">
        <v>422</v>
      </c>
      <c r="L163" s="459"/>
      <c r="M163" s="459"/>
      <c r="N163" s="53"/>
      <c r="O163" s="53"/>
      <c r="P163" s="53"/>
      <c r="Q163" s="53"/>
      <c r="R163" s="171"/>
    </row>
    <row r="164" spans="1:18" s="114" customFormat="1" ht="48" customHeight="1">
      <c r="A164" s="48"/>
      <c r="B164" s="459"/>
      <c r="C164" s="45"/>
      <c r="D164" s="45"/>
      <c r="E164" s="45"/>
      <c r="F164" s="417"/>
      <c r="G164" s="45"/>
      <c r="H164" s="418"/>
      <c r="I164" s="521" t="s">
        <v>91</v>
      </c>
      <c r="J164" s="521" t="s">
        <v>68</v>
      </c>
      <c r="K164" s="9" t="s">
        <v>71</v>
      </c>
      <c r="L164" s="448"/>
      <c r="M164" s="146"/>
      <c r="N164" s="64"/>
      <c r="O164" s="64"/>
      <c r="P164" s="64"/>
      <c r="Q164" s="64"/>
      <c r="R164" s="64"/>
    </row>
    <row r="165" spans="1:18" s="114" customFormat="1" ht="98.25" customHeight="1">
      <c r="A165" s="52" t="s">
        <v>828</v>
      </c>
      <c r="B165" s="459">
        <v>684</v>
      </c>
      <c r="C165" s="45"/>
      <c r="D165" s="45"/>
      <c r="E165" s="45"/>
      <c r="F165" s="419" t="s">
        <v>1287</v>
      </c>
      <c r="G165" s="459" t="s">
        <v>1288</v>
      </c>
      <c r="H165" s="474" t="s">
        <v>1345</v>
      </c>
      <c r="I165" s="453" t="s">
        <v>1439</v>
      </c>
      <c r="J165" s="453" t="s">
        <v>68</v>
      </c>
      <c r="K165" s="453" t="s">
        <v>1238</v>
      </c>
      <c r="L165" s="447" t="s">
        <v>40</v>
      </c>
      <c r="M165" s="506" t="s">
        <v>32</v>
      </c>
      <c r="N165" s="63">
        <v>45154.3</v>
      </c>
      <c r="O165" s="63">
        <v>45154.3</v>
      </c>
      <c r="P165" s="63">
        <v>31459.5</v>
      </c>
      <c r="Q165" s="63">
        <v>0</v>
      </c>
      <c r="R165" s="63">
        <v>0</v>
      </c>
    </row>
    <row r="166" spans="1:18" s="114" customFormat="1" ht="84" customHeight="1">
      <c r="A166" s="52" t="s">
        <v>829</v>
      </c>
      <c r="B166" s="459">
        <v>566</v>
      </c>
      <c r="C166" s="45"/>
      <c r="D166" s="45"/>
      <c r="E166" s="45"/>
      <c r="F166" s="419" t="s">
        <v>1287</v>
      </c>
      <c r="G166" s="459" t="s">
        <v>1289</v>
      </c>
      <c r="H166" s="474" t="s">
        <v>1345</v>
      </c>
      <c r="I166" s="474" t="s">
        <v>1454</v>
      </c>
      <c r="J166" s="474" t="s">
        <v>68</v>
      </c>
      <c r="K166" s="474" t="s">
        <v>1455</v>
      </c>
      <c r="L166" s="447" t="s">
        <v>40</v>
      </c>
      <c r="M166" s="506" t="s">
        <v>32</v>
      </c>
      <c r="N166" s="63">
        <v>1547.9</v>
      </c>
      <c r="O166" s="63">
        <v>1364.2750000000001</v>
      </c>
      <c r="P166" s="63">
        <v>1818.4</v>
      </c>
      <c r="Q166" s="63">
        <v>1818.4</v>
      </c>
      <c r="R166" s="63">
        <v>1818.4</v>
      </c>
    </row>
    <row r="167" spans="1:18" s="114" customFormat="1" ht="60.75" customHeight="1">
      <c r="A167" s="479" t="s">
        <v>1125</v>
      </c>
      <c r="B167" s="75" t="s">
        <v>947</v>
      </c>
      <c r="C167" s="45"/>
      <c r="D167" s="45"/>
      <c r="E167" s="45"/>
      <c r="F167" s="419" t="s">
        <v>1287</v>
      </c>
      <c r="G167" s="459" t="s">
        <v>1274</v>
      </c>
      <c r="H167" s="474" t="s">
        <v>1345</v>
      </c>
      <c r="I167" s="353" t="s">
        <v>969</v>
      </c>
      <c r="J167" s="474" t="s">
        <v>68</v>
      </c>
      <c r="K167" s="474" t="s">
        <v>970</v>
      </c>
      <c r="L167" s="508" t="s">
        <v>40</v>
      </c>
      <c r="M167" s="156" t="s">
        <v>32</v>
      </c>
      <c r="N167" s="63">
        <v>5600</v>
      </c>
      <c r="O167" s="63">
        <v>5600</v>
      </c>
      <c r="P167" s="63">
        <v>0</v>
      </c>
      <c r="Q167" s="63">
        <v>0</v>
      </c>
      <c r="R167" s="63">
        <v>0</v>
      </c>
    </row>
    <row r="168" spans="1:18" s="114" customFormat="1" ht="60.75" customHeight="1">
      <c r="A168" s="479" t="s">
        <v>1126</v>
      </c>
      <c r="B168" s="519" t="s">
        <v>1086</v>
      </c>
      <c r="C168" s="54"/>
      <c r="D168" s="54"/>
      <c r="E168" s="54"/>
      <c r="F168" s="520"/>
      <c r="G168" s="520"/>
      <c r="H168" s="520"/>
      <c r="I168" s="520" t="s">
        <v>1110</v>
      </c>
      <c r="J168" s="520" t="s">
        <v>68</v>
      </c>
      <c r="K168" s="520" t="s">
        <v>1111</v>
      </c>
      <c r="L168" s="367" t="s">
        <v>40</v>
      </c>
      <c r="M168" s="367" t="s">
        <v>32</v>
      </c>
      <c r="N168" s="63">
        <v>4034.5</v>
      </c>
      <c r="O168" s="63">
        <v>4034.5</v>
      </c>
      <c r="P168" s="63">
        <v>0</v>
      </c>
      <c r="Q168" s="63">
        <v>0</v>
      </c>
      <c r="R168" s="63">
        <v>0</v>
      </c>
    </row>
    <row r="169" spans="1:18" s="114" customFormat="1" ht="48" customHeight="1">
      <c r="A169" s="546" t="s">
        <v>1127</v>
      </c>
      <c r="B169" s="519" t="s">
        <v>562</v>
      </c>
      <c r="C169" s="54"/>
      <c r="D169" s="54"/>
      <c r="E169" s="54"/>
      <c r="F169" s="665" t="s">
        <v>522</v>
      </c>
      <c r="G169" s="464" t="s">
        <v>835</v>
      </c>
      <c r="H169" s="464" t="s">
        <v>523</v>
      </c>
      <c r="I169" s="188" t="s">
        <v>874</v>
      </c>
      <c r="J169" s="449" t="s">
        <v>68</v>
      </c>
      <c r="K169" s="450" t="s">
        <v>875</v>
      </c>
      <c r="L169" s="73" t="s">
        <v>40</v>
      </c>
      <c r="M169" s="73" t="s">
        <v>32</v>
      </c>
      <c r="N169" s="63">
        <v>99</v>
      </c>
      <c r="O169" s="63">
        <v>99</v>
      </c>
      <c r="P169" s="63">
        <v>0</v>
      </c>
      <c r="Q169" s="63">
        <v>0</v>
      </c>
      <c r="R169" s="63">
        <v>0</v>
      </c>
    </row>
    <row r="170" spans="1:18" s="114" customFormat="1" ht="48" customHeight="1">
      <c r="A170" s="546"/>
      <c r="B170" s="519" t="s">
        <v>895</v>
      </c>
      <c r="C170" s="54"/>
      <c r="D170" s="54"/>
      <c r="E170" s="54"/>
      <c r="F170" s="665"/>
      <c r="G170" s="464"/>
      <c r="H170" s="464"/>
      <c r="I170" s="188" t="s">
        <v>944</v>
      </c>
      <c r="J170" s="449" t="s">
        <v>68</v>
      </c>
      <c r="K170" s="450" t="s">
        <v>945</v>
      </c>
      <c r="L170" s="73" t="s">
        <v>40</v>
      </c>
      <c r="M170" s="73" t="s">
        <v>32</v>
      </c>
      <c r="N170" s="63">
        <v>90</v>
      </c>
      <c r="O170" s="63">
        <v>90</v>
      </c>
      <c r="P170" s="63">
        <v>0</v>
      </c>
      <c r="Q170" s="63">
        <v>0</v>
      </c>
      <c r="R170" s="63">
        <v>0</v>
      </c>
    </row>
    <row r="171" spans="1:18" s="114" customFormat="1" ht="60">
      <c r="A171" s="546"/>
      <c r="B171" s="519" t="s">
        <v>563</v>
      </c>
      <c r="C171" s="54"/>
      <c r="D171" s="54"/>
      <c r="E171" s="54"/>
      <c r="F171" s="665"/>
      <c r="G171" s="464"/>
      <c r="H171" s="464"/>
      <c r="I171" s="188" t="s">
        <v>942</v>
      </c>
      <c r="J171" s="449" t="s">
        <v>68</v>
      </c>
      <c r="K171" s="450" t="s">
        <v>943</v>
      </c>
      <c r="L171" s="73" t="s">
        <v>40</v>
      </c>
      <c r="M171" s="73" t="s">
        <v>32</v>
      </c>
      <c r="N171" s="63">
        <v>90</v>
      </c>
      <c r="O171" s="63">
        <v>90</v>
      </c>
      <c r="P171" s="63">
        <v>0</v>
      </c>
      <c r="Q171" s="63">
        <v>0</v>
      </c>
      <c r="R171" s="63">
        <v>0</v>
      </c>
    </row>
    <row r="172" spans="1:18" s="114" customFormat="1" ht="48.75" customHeight="1">
      <c r="A172" s="546"/>
      <c r="B172" s="519" t="s">
        <v>488</v>
      </c>
      <c r="C172" s="54"/>
      <c r="D172" s="54"/>
      <c r="E172" s="54"/>
      <c r="F172" s="665"/>
      <c r="G172" s="464"/>
      <c r="H172" s="464"/>
      <c r="I172" s="188" t="s">
        <v>966</v>
      </c>
      <c r="J172" s="449" t="s">
        <v>68</v>
      </c>
      <c r="K172" s="450" t="s">
        <v>967</v>
      </c>
      <c r="L172" s="73" t="s">
        <v>40</v>
      </c>
      <c r="M172" s="73" t="s">
        <v>32</v>
      </c>
      <c r="N172" s="63">
        <v>156.6</v>
      </c>
      <c r="O172" s="63">
        <v>156.5</v>
      </c>
      <c r="P172" s="63">
        <v>0</v>
      </c>
      <c r="Q172" s="63">
        <v>0</v>
      </c>
      <c r="R172" s="63">
        <v>0</v>
      </c>
    </row>
    <row r="173" spans="1:18" s="114" customFormat="1" ht="60" customHeight="1">
      <c r="A173" s="546"/>
      <c r="B173" s="519" t="s">
        <v>494</v>
      </c>
      <c r="C173" s="54"/>
      <c r="D173" s="54"/>
      <c r="E173" s="54"/>
      <c r="F173" s="665"/>
      <c r="G173" s="464"/>
      <c r="H173" s="464"/>
      <c r="I173" s="449" t="s">
        <v>1044</v>
      </c>
      <c r="J173" s="449" t="s">
        <v>68</v>
      </c>
      <c r="K173" s="450" t="s">
        <v>1045</v>
      </c>
      <c r="L173" s="100" t="s">
        <v>40</v>
      </c>
      <c r="M173" s="100" t="s">
        <v>32</v>
      </c>
      <c r="N173" s="105">
        <v>45</v>
      </c>
      <c r="O173" s="105">
        <v>45</v>
      </c>
      <c r="P173" s="105">
        <v>0</v>
      </c>
      <c r="Q173" s="105">
        <v>0</v>
      </c>
      <c r="R173" s="105">
        <v>0</v>
      </c>
    </row>
    <row r="174" spans="1:18" s="114" customFormat="1" ht="48.75" customHeight="1">
      <c r="A174" s="546"/>
      <c r="B174" s="519" t="s">
        <v>495</v>
      </c>
      <c r="C174" s="54"/>
      <c r="D174" s="54"/>
      <c r="E174" s="54"/>
      <c r="F174" s="665"/>
      <c r="G174" s="464"/>
      <c r="H174" s="464"/>
      <c r="I174" s="449" t="s">
        <v>1035</v>
      </c>
      <c r="J174" s="449" t="s">
        <v>68</v>
      </c>
      <c r="K174" s="450" t="s">
        <v>1019</v>
      </c>
      <c r="L174" s="100" t="s">
        <v>40</v>
      </c>
      <c r="M174" s="100" t="s">
        <v>32</v>
      </c>
      <c r="N174" s="105">
        <v>42</v>
      </c>
      <c r="O174" s="105">
        <v>42</v>
      </c>
      <c r="P174" s="105">
        <v>0</v>
      </c>
      <c r="Q174" s="105">
        <v>0</v>
      </c>
      <c r="R174" s="105">
        <v>0</v>
      </c>
    </row>
    <row r="175" spans="1:18" s="115" customFormat="1" ht="94.5" hidden="1" customHeight="1">
      <c r="A175" s="566" t="s">
        <v>620</v>
      </c>
      <c r="B175" s="495">
        <v>1035</v>
      </c>
      <c r="C175" s="549" t="s">
        <v>56</v>
      </c>
      <c r="D175" s="549" t="s">
        <v>357</v>
      </c>
      <c r="E175" s="549" t="s">
        <v>57</v>
      </c>
      <c r="F175" s="572" t="s">
        <v>31</v>
      </c>
      <c r="G175" s="650" t="s">
        <v>31</v>
      </c>
      <c r="H175" s="598" t="s">
        <v>31</v>
      </c>
      <c r="I175" s="498" t="s">
        <v>358</v>
      </c>
      <c r="J175" s="498" t="s">
        <v>202</v>
      </c>
      <c r="K175" s="298" t="s">
        <v>333</v>
      </c>
      <c r="L175" s="467" t="s">
        <v>40</v>
      </c>
      <c r="M175" s="467" t="s">
        <v>32</v>
      </c>
      <c r="N175" s="38">
        <f>SUM(N176:N177)</f>
        <v>0</v>
      </c>
      <c r="O175" s="38">
        <f>SUM(O176:O177)</f>
        <v>0</v>
      </c>
      <c r="P175" s="38">
        <f>SUM(P176:P177)</f>
        <v>0</v>
      </c>
      <c r="Q175" s="38">
        <f>SUM(Q176:Q177)</f>
        <v>0</v>
      </c>
      <c r="R175" s="38">
        <f>SUM(R176:R177)</f>
        <v>0</v>
      </c>
    </row>
    <row r="176" spans="1:18" s="115" customFormat="1" ht="62.25" hidden="1" customHeight="1">
      <c r="A176" s="580"/>
      <c r="B176" s="459" t="s">
        <v>727</v>
      </c>
      <c r="C176" s="564"/>
      <c r="D176" s="564"/>
      <c r="E176" s="564"/>
      <c r="F176" s="573"/>
      <c r="G176" s="651"/>
      <c r="H176" s="599"/>
      <c r="I176" s="299" t="s">
        <v>572</v>
      </c>
      <c r="J176" s="299" t="s">
        <v>68</v>
      </c>
      <c r="K176" s="300" t="s">
        <v>573</v>
      </c>
      <c r="L176" s="573"/>
      <c r="M176" s="573"/>
      <c r="N176" s="53"/>
      <c r="O176" s="53"/>
      <c r="P176" s="53">
        <v>0</v>
      </c>
      <c r="Q176" s="53">
        <v>0</v>
      </c>
      <c r="R176" s="53">
        <v>0</v>
      </c>
    </row>
    <row r="177" spans="1:18" s="115" customFormat="1" ht="84" hidden="1">
      <c r="A177" s="580"/>
      <c r="B177" s="473"/>
      <c r="C177" s="564"/>
      <c r="D177" s="564"/>
      <c r="E177" s="564"/>
      <c r="F177" s="573"/>
      <c r="G177" s="651"/>
      <c r="H177" s="599"/>
      <c r="I177" s="7" t="s">
        <v>836</v>
      </c>
      <c r="J177" s="7" t="s">
        <v>68</v>
      </c>
      <c r="K177" s="8" t="s">
        <v>422</v>
      </c>
      <c r="L177" s="573"/>
      <c r="M177" s="573"/>
      <c r="N177" s="53"/>
      <c r="O177" s="53"/>
      <c r="P177" s="53">
        <v>0</v>
      </c>
      <c r="Q177" s="53">
        <v>0</v>
      </c>
      <c r="R177" s="53">
        <v>0</v>
      </c>
    </row>
    <row r="178" spans="1:18" s="115" customFormat="1" ht="13.5" customHeight="1">
      <c r="A178" s="566" t="s">
        <v>980</v>
      </c>
      <c r="B178" s="40">
        <v>1036</v>
      </c>
      <c r="C178" s="488"/>
      <c r="D178" s="488"/>
      <c r="E178" s="488"/>
      <c r="F178" s="40"/>
      <c r="G178" s="40"/>
      <c r="H178" s="40"/>
      <c r="I178" s="355"/>
      <c r="J178" s="355"/>
      <c r="K178" s="356"/>
      <c r="L178" s="40"/>
      <c r="M178" s="40"/>
      <c r="N178" s="242">
        <f>SUM(N179:N180)</f>
        <v>2358</v>
      </c>
      <c r="O178" s="242">
        <f>SUM(O179:O180)</f>
        <v>1700</v>
      </c>
      <c r="P178" s="242">
        <f>SUM(P179:P180)</f>
        <v>654.66099999999994</v>
      </c>
      <c r="Q178" s="242">
        <f t="shared" ref="Q178:R178" si="20">SUM(Q179:Q180)</f>
        <v>0</v>
      </c>
      <c r="R178" s="242">
        <f t="shared" si="20"/>
        <v>0</v>
      </c>
    </row>
    <row r="179" spans="1:18" s="115" customFormat="1" ht="48" customHeight="1">
      <c r="A179" s="580"/>
      <c r="B179" s="447" t="s">
        <v>987</v>
      </c>
      <c r="C179" s="447"/>
      <c r="D179" s="447"/>
      <c r="E179" s="447"/>
      <c r="F179" s="447"/>
      <c r="G179" s="447"/>
      <c r="H179" s="447"/>
      <c r="I179" s="547" t="s">
        <v>1053</v>
      </c>
      <c r="J179" s="549" t="s">
        <v>74</v>
      </c>
      <c r="K179" s="549" t="s">
        <v>1054</v>
      </c>
      <c r="L179" s="234" t="s">
        <v>40</v>
      </c>
      <c r="M179" s="234" t="s">
        <v>32</v>
      </c>
      <c r="N179" s="243">
        <v>1530</v>
      </c>
      <c r="O179" s="243">
        <v>1530</v>
      </c>
      <c r="P179" s="243">
        <v>0</v>
      </c>
      <c r="Q179" s="243">
        <v>0</v>
      </c>
      <c r="R179" s="243">
        <v>0</v>
      </c>
    </row>
    <row r="180" spans="1:18" s="115" customFormat="1" ht="98.25" customHeight="1">
      <c r="A180" s="567"/>
      <c r="B180" s="448" t="s">
        <v>988</v>
      </c>
      <c r="C180" s="448"/>
      <c r="D180" s="448"/>
      <c r="E180" s="448"/>
      <c r="F180" s="448"/>
      <c r="G180" s="448"/>
      <c r="H180" s="448"/>
      <c r="I180" s="548"/>
      <c r="J180" s="550"/>
      <c r="K180" s="550"/>
      <c r="L180" s="234" t="s">
        <v>40</v>
      </c>
      <c r="M180" s="234" t="s">
        <v>32</v>
      </c>
      <c r="N180" s="243">
        <v>828</v>
      </c>
      <c r="O180" s="243">
        <v>170</v>
      </c>
      <c r="P180" s="243">
        <v>654.66099999999994</v>
      </c>
      <c r="Q180" s="243">
        <v>0</v>
      </c>
      <c r="R180" s="243">
        <v>0</v>
      </c>
    </row>
    <row r="181" spans="1:18" s="115" customFormat="1" ht="36" customHeight="1">
      <c r="A181" s="451" t="s">
        <v>621</v>
      </c>
      <c r="B181" s="467">
        <v>1040</v>
      </c>
      <c r="C181" s="447"/>
      <c r="D181" s="447"/>
      <c r="E181" s="447"/>
      <c r="F181" s="467"/>
      <c r="G181" s="467"/>
      <c r="H181" s="467"/>
      <c r="I181" s="446"/>
      <c r="J181" s="446"/>
      <c r="K181" s="244"/>
      <c r="L181" s="467"/>
      <c r="M181" s="467"/>
      <c r="N181" s="38">
        <f>SUM(N182)</f>
        <v>827.76700000000005</v>
      </c>
      <c r="O181" s="38">
        <f>SUM(O182)</f>
        <v>825.83299999999997</v>
      </c>
      <c r="P181" s="38">
        <f>SUM(P182)</f>
        <v>1000</v>
      </c>
      <c r="Q181" s="38">
        <f t="shared" ref="Q181:R181" si="21">SUM(Q182)</f>
        <v>500</v>
      </c>
      <c r="R181" s="38">
        <f t="shared" si="21"/>
        <v>1000</v>
      </c>
    </row>
    <row r="182" spans="1:18" s="114" customFormat="1" ht="84.75" customHeight="1">
      <c r="A182" s="99" t="s">
        <v>783</v>
      </c>
      <c r="B182" s="491"/>
      <c r="C182" s="491" t="s">
        <v>784</v>
      </c>
      <c r="D182" s="491" t="s">
        <v>93</v>
      </c>
      <c r="E182" s="491" t="s">
        <v>94</v>
      </c>
      <c r="F182" s="491"/>
      <c r="G182" s="99"/>
      <c r="H182" s="99"/>
      <c r="I182" s="472" t="s">
        <v>785</v>
      </c>
      <c r="J182" s="472" t="s">
        <v>786</v>
      </c>
      <c r="K182" s="184" t="s">
        <v>90</v>
      </c>
      <c r="L182" s="491" t="s">
        <v>37</v>
      </c>
      <c r="M182" s="491" t="s">
        <v>33</v>
      </c>
      <c r="N182" s="105">
        <v>827.76700000000005</v>
      </c>
      <c r="O182" s="105">
        <v>825.83299999999997</v>
      </c>
      <c r="P182" s="105">
        <v>1000</v>
      </c>
      <c r="Q182" s="105">
        <v>500</v>
      </c>
      <c r="R182" s="105">
        <v>1000</v>
      </c>
    </row>
    <row r="183" spans="1:18" s="115" customFormat="1" ht="36">
      <c r="A183" s="55" t="s">
        <v>622</v>
      </c>
      <c r="B183" s="468">
        <v>1041</v>
      </c>
      <c r="C183" s="55"/>
      <c r="D183" s="55"/>
      <c r="E183" s="55"/>
      <c r="F183" s="55"/>
      <c r="G183" s="55"/>
      <c r="H183" s="55"/>
      <c r="I183" s="55"/>
      <c r="J183" s="55"/>
      <c r="K183" s="55"/>
      <c r="L183" s="468"/>
      <c r="M183" s="512"/>
      <c r="N183" s="245">
        <f>N184</f>
        <v>263.44200000000001</v>
      </c>
      <c r="O183" s="245">
        <f>O184</f>
        <v>216.988</v>
      </c>
      <c r="P183" s="245">
        <f>SUM(P184:P188)</f>
        <v>355</v>
      </c>
      <c r="Q183" s="245">
        <f t="shared" ref="Q183:R183" si="22">SUM(Q184:Q188)</f>
        <v>355</v>
      </c>
      <c r="R183" s="245">
        <f t="shared" si="22"/>
        <v>355</v>
      </c>
    </row>
    <row r="184" spans="1:18" s="114" customFormat="1" ht="85.5" customHeight="1">
      <c r="A184" s="52" t="s">
        <v>787</v>
      </c>
      <c r="B184" s="447"/>
      <c r="C184" s="477" t="s">
        <v>56</v>
      </c>
      <c r="D184" s="477" t="s">
        <v>117</v>
      </c>
      <c r="E184" s="477" t="s">
        <v>57</v>
      </c>
      <c r="F184" s="52" t="s">
        <v>31</v>
      </c>
      <c r="G184" s="52" t="s">
        <v>31</v>
      </c>
      <c r="H184" s="52" t="s">
        <v>31</v>
      </c>
      <c r="I184" s="136" t="s">
        <v>1069</v>
      </c>
      <c r="J184" s="136" t="s">
        <v>68</v>
      </c>
      <c r="K184" s="136" t="s">
        <v>118</v>
      </c>
      <c r="L184" s="640" t="s">
        <v>37</v>
      </c>
      <c r="M184" s="638" t="s">
        <v>35</v>
      </c>
      <c r="N184" s="167">
        <v>263.44200000000001</v>
      </c>
      <c r="O184" s="167">
        <v>216.988</v>
      </c>
      <c r="P184" s="167">
        <v>355</v>
      </c>
      <c r="Q184" s="167">
        <v>355</v>
      </c>
      <c r="R184" s="167">
        <v>355</v>
      </c>
    </row>
    <row r="185" spans="1:18" s="114" customFormat="1" ht="120" customHeight="1">
      <c r="A185" s="45"/>
      <c r="B185" s="459"/>
      <c r="C185" s="475"/>
      <c r="D185" s="475"/>
      <c r="E185" s="475"/>
      <c r="F185" s="45"/>
      <c r="G185" s="45"/>
      <c r="H185" s="45"/>
      <c r="I185" s="521" t="s">
        <v>1292</v>
      </c>
      <c r="J185" s="521" t="s">
        <v>68</v>
      </c>
      <c r="K185" s="521" t="s">
        <v>425</v>
      </c>
      <c r="L185" s="641"/>
      <c r="M185" s="639"/>
      <c r="N185" s="168"/>
      <c r="O185" s="168"/>
      <c r="P185" s="168"/>
      <c r="Q185" s="168"/>
      <c r="R185" s="168"/>
    </row>
    <row r="186" spans="1:18" s="114" customFormat="1" ht="71.25" customHeight="1">
      <c r="A186" s="45"/>
      <c r="B186" s="459"/>
      <c r="C186" s="475"/>
      <c r="D186" s="475"/>
      <c r="E186" s="475"/>
      <c r="F186" s="45"/>
      <c r="G186" s="45"/>
      <c r="H186" s="45"/>
      <c r="I186" s="521" t="s">
        <v>1293</v>
      </c>
      <c r="J186" s="521" t="s">
        <v>68</v>
      </c>
      <c r="K186" s="521" t="s">
        <v>541</v>
      </c>
      <c r="L186" s="75"/>
      <c r="M186" s="507"/>
      <c r="N186" s="168"/>
      <c r="O186" s="168"/>
      <c r="P186" s="168"/>
      <c r="Q186" s="168"/>
      <c r="R186" s="168"/>
    </row>
    <row r="187" spans="1:18" s="114" customFormat="1" ht="60">
      <c r="A187" s="45"/>
      <c r="B187" s="459"/>
      <c r="C187" s="475"/>
      <c r="D187" s="475"/>
      <c r="E187" s="475"/>
      <c r="F187" s="45"/>
      <c r="G187" s="45"/>
      <c r="H187" s="45"/>
      <c r="I187" s="453" t="s">
        <v>412</v>
      </c>
      <c r="J187" s="453" t="s">
        <v>68</v>
      </c>
      <c r="K187" s="453" t="s">
        <v>69</v>
      </c>
      <c r="L187" s="75"/>
      <c r="M187" s="459"/>
      <c r="N187" s="340"/>
      <c r="O187" s="340"/>
      <c r="P187" s="340"/>
      <c r="Q187" s="340"/>
      <c r="R187" s="340"/>
    </row>
    <row r="188" spans="1:18" s="114" customFormat="1" ht="12" hidden="1">
      <c r="A188" s="45"/>
      <c r="B188" s="509"/>
      <c r="C188" s="475"/>
      <c r="D188" s="475"/>
      <c r="E188" s="475"/>
      <c r="F188" s="45"/>
      <c r="G188" s="45"/>
      <c r="H188" s="45"/>
      <c r="I188" s="453"/>
      <c r="J188" s="453"/>
      <c r="K188" s="453"/>
      <c r="L188" s="75"/>
      <c r="M188" s="459"/>
      <c r="N188" s="340"/>
      <c r="O188" s="340"/>
      <c r="P188" s="340"/>
      <c r="Q188" s="340"/>
      <c r="R188" s="340"/>
    </row>
    <row r="189" spans="1:18" s="114" customFormat="1" ht="30.75" customHeight="1">
      <c r="A189" s="39" t="s">
        <v>624</v>
      </c>
      <c r="B189" s="176" t="s">
        <v>623</v>
      </c>
      <c r="C189" s="25"/>
      <c r="D189" s="25"/>
      <c r="E189" s="25"/>
      <c r="F189" s="25"/>
      <c r="G189" s="25"/>
      <c r="H189" s="246"/>
      <c r="I189" s="232"/>
      <c r="J189" s="232"/>
      <c r="K189" s="232"/>
      <c r="L189" s="488"/>
      <c r="M189" s="488"/>
      <c r="N189" s="247">
        <f>SUM(N190:N196)</f>
        <v>1086.626</v>
      </c>
      <c r="O189" s="247">
        <f>SUM(O190:O196)</f>
        <v>1086.626</v>
      </c>
      <c r="P189" s="247">
        <f>SUM(P190:P196)</f>
        <v>550</v>
      </c>
      <c r="Q189" s="247">
        <f t="shared" ref="Q189:R189" si="23">SUM(Q190:Q196)</f>
        <v>550</v>
      </c>
      <c r="R189" s="247">
        <f t="shared" si="23"/>
        <v>550</v>
      </c>
    </row>
    <row r="190" spans="1:18" s="114" customFormat="1" ht="142.5" customHeight="1">
      <c r="A190" s="45"/>
      <c r="B190" s="459"/>
      <c r="C190" s="477" t="s">
        <v>56</v>
      </c>
      <c r="D190" s="477" t="s">
        <v>117</v>
      </c>
      <c r="E190" s="477" t="s">
        <v>57</v>
      </c>
      <c r="F190" s="453" t="s">
        <v>1294</v>
      </c>
      <c r="G190" s="453" t="s">
        <v>1295</v>
      </c>
      <c r="H190" s="453" t="s">
        <v>1345</v>
      </c>
      <c r="I190" s="453" t="s">
        <v>788</v>
      </c>
      <c r="J190" s="453" t="s">
        <v>68</v>
      </c>
      <c r="K190" s="453" t="s">
        <v>119</v>
      </c>
      <c r="L190" s="75" t="s">
        <v>37</v>
      </c>
      <c r="M190" s="507">
        <v>12</v>
      </c>
      <c r="N190" s="168">
        <f>53.819+103.281</f>
        <v>157.10000000000002</v>
      </c>
      <c r="O190" s="168">
        <f>53.819+103.281</f>
        <v>157.10000000000002</v>
      </c>
      <c r="P190" s="168">
        <v>550</v>
      </c>
      <c r="Q190" s="168">
        <v>550</v>
      </c>
      <c r="R190" s="168">
        <v>550</v>
      </c>
    </row>
    <row r="191" spans="1:18" s="114" customFormat="1" ht="60" customHeight="1">
      <c r="A191" s="45"/>
      <c r="B191" s="459"/>
      <c r="C191" s="570"/>
      <c r="D191" s="570"/>
      <c r="E191" s="570"/>
      <c r="F191" s="181"/>
      <c r="G191" s="181"/>
      <c r="H191" s="181"/>
      <c r="I191" s="453" t="s">
        <v>1296</v>
      </c>
      <c r="J191" s="453" t="s">
        <v>68</v>
      </c>
      <c r="K191" s="453" t="s">
        <v>790</v>
      </c>
      <c r="L191" s="57"/>
      <c r="M191" s="507"/>
      <c r="N191" s="168"/>
      <c r="O191" s="168"/>
      <c r="P191" s="168"/>
      <c r="Q191" s="168"/>
      <c r="R191" s="168"/>
    </row>
    <row r="192" spans="1:18" s="114" customFormat="1" ht="84">
      <c r="A192" s="45"/>
      <c r="B192" s="459"/>
      <c r="C192" s="570"/>
      <c r="D192" s="570"/>
      <c r="E192" s="570"/>
      <c r="F192" s="181"/>
      <c r="G192" s="181"/>
      <c r="H192" s="181"/>
      <c r="I192" s="475" t="s">
        <v>1297</v>
      </c>
      <c r="J192" s="453" t="s">
        <v>68</v>
      </c>
      <c r="K192" s="453" t="s">
        <v>543</v>
      </c>
      <c r="L192" s="57"/>
      <c r="M192" s="507"/>
      <c r="N192" s="168"/>
      <c r="O192" s="168"/>
      <c r="P192" s="168"/>
      <c r="Q192" s="168"/>
      <c r="R192" s="168"/>
    </row>
    <row r="193" spans="1:18" s="114" customFormat="1" ht="72">
      <c r="A193" s="45"/>
      <c r="B193" s="459"/>
      <c r="C193" s="570"/>
      <c r="D193" s="570"/>
      <c r="E193" s="570"/>
      <c r="F193" s="181"/>
      <c r="G193" s="181"/>
      <c r="H193" s="181"/>
      <c r="I193" s="453" t="s">
        <v>120</v>
      </c>
      <c r="J193" s="453" t="s">
        <v>68</v>
      </c>
      <c r="K193" s="453" t="s">
        <v>121</v>
      </c>
      <c r="L193" s="57"/>
      <c r="M193" s="507"/>
      <c r="N193" s="168"/>
      <c r="O193" s="168"/>
      <c r="P193" s="168"/>
      <c r="Q193" s="168"/>
      <c r="R193" s="168"/>
    </row>
    <row r="194" spans="1:18" s="114" customFormat="1" ht="48">
      <c r="A194" s="45"/>
      <c r="B194" s="459"/>
      <c r="C194" s="475"/>
      <c r="D194" s="475"/>
      <c r="E194" s="475"/>
      <c r="F194" s="181"/>
      <c r="G194" s="181"/>
      <c r="H194" s="181"/>
      <c r="I194" s="453" t="s">
        <v>1298</v>
      </c>
      <c r="J194" s="453" t="s">
        <v>68</v>
      </c>
      <c r="K194" s="453" t="s">
        <v>789</v>
      </c>
      <c r="L194" s="57"/>
      <c r="M194" s="507"/>
      <c r="N194" s="168"/>
      <c r="O194" s="168"/>
      <c r="P194" s="168"/>
      <c r="Q194" s="168"/>
      <c r="R194" s="168"/>
    </row>
    <row r="195" spans="1:18" s="114" customFormat="1" ht="48">
      <c r="A195" s="45"/>
      <c r="B195" s="459"/>
      <c r="C195" s="475"/>
      <c r="D195" s="475"/>
      <c r="E195" s="475"/>
      <c r="F195" s="181"/>
      <c r="G195" s="181"/>
      <c r="H195" s="181"/>
      <c r="I195" s="453" t="s">
        <v>91</v>
      </c>
      <c r="J195" s="453" t="s">
        <v>68</v>
      </c>
      <c r="K195" s="453" t="s">
        <v>71</v>
      </c>
      <c r="L195" s="57"/>
      <c r="M195" s="507"/>
      <c r="N195" s="168"/>
      <c r="O195" s="168"/>
      <c r="P195" s="168"/>
      <c r="Q195" s="168"/>
      <c r="R195" s="168"/>
    </row>
    <row r="196" spans="1:18" s="114" customFormat="1" ht="60">
      <c r="A196" s="45"/>
      <c r="B196" s="509" t="s">
        <v>588</v>
      </c>
      <c r="C196" s="475"/>
      <c r="D196" s="475"/>
      <c r="E196" s="475"/>
      <c r="F196" s="475"/>
      <c r="G196" s="475"/>
      <c r="H196" s="475"/>
      <c r="I196" s="453" t="s">
        <v>963</v>
      </c>
      <c r="J196" s="453" t="s">
        <v>68</v>
      </c>
      <c r="K196" s="453" t="s">
        <v>964</v>
      </c>
      <c r="L196" s="459"/>
      <c r="M196" s="507"/>
      <c r="N196" s="168">
        <v>929.52599999999995</v>
      </c>
      <c r="O196" s="168">
        <v>929.52599999999995</v>
      </c>
      <c r="P196" s="168">
        <v>0</v>
      </c>
      <c r="Q196" s="168">
        <v>0</v>
      </c>
      <c r="R196" s="168">
        <v>0</v>
      </c>
    </row>
    <row r="197" spans="1:18" s="114" customFormat="1" ht="48" hidden="1">
      <c r="A197" s="39" t="s">
        <v>626</v>
      </c>
      <c r="B197" s="176" t="s">
        <v>625</v>
      </c>
      <c r="C197" s="25"/>
      <c r="D197" s="25"/>
      <c r="E197" s="25"/>
      <c r="F197" s="25"/>
      <c r="G197" s="25"/>
      <c r="H197" s="246"/>
      <c r="I197" s="232"/>
      <c r="J197" s="232"/>
      <c r="K197" s="232"/>
      <c r="L197" s="488"/>
      <c r="M197" s="488"/>
      <c r="N197" s="111"/>
      <c r="O197" s="111"/>
      <c r="P197" s="111"/>
      <c r="Q197" s="111"/>
      <c r="R197" s="248"/>
    </row>
    <row r="198" spans="1:18" s="114" customFormat="1" ht="48">
      <c r="A198" s="37" t="s">
        <v>628</v>
      </c>
      <c r="B198" s="457" t="s">
        <v>627</v>
      </c>
      <c r="C198" s="249"/>
      <c r="D198" s="249"/>
      <c r="E198" s="249"/>
      <c r="F198" s="249"/>
      <c r="G198" s="249"/>
      <c r="H198" s="250"/>
      <c r="I198" s="136"/>
      <c r="J198" s="136"/>
      <c r="K198" s="136"/>
      <c r="L198" s="447"/>
      <c r="M198" s="447"/>
      <c r="N198" s="251">
        <f>SUM(N200:N201)</f>
        <v>4231.6899999999996</v>
      </c>
      <c r="O198" s="251">
        <f>SUM(O200:O201)</f>
        <v>4231.6899999999996</v>
      </c>
      <c r="P198" s="251">
        <f>SUM(P200:P201)</f>
        <v>4818.5</v>
      </c>
      <c r="Q198" s="251">
        <f t="shared" ref="Q198:R198" si="24">SUM(Q200:Q201)</f>
        <v>11979.1</v>
      </c>
      <c r="R198" s="251">
        <f t="shared" si="24"/>
        <v>22748.2</v>
      </c>
    </row>
    <row r="199" spans="1:18" s="115" customFormat="1" ht="12">
      <c r="A199" s="39" t="s">
        <v>97</v>
      </c>
      <c r="B199" s="40"/>
      <c r="C199" s="39"/>
      <c r="D199" s="39"/>
      <c r="E199" s="39"/>
      <c r="F199" s="39"/>
      <c r="G199" s="39"/>
      <c r="H199" s="39"/>
      <c r="I199" s="39"/>
      <c r="J199" s="39"/>
      <c r="K199" s="39"/>
      <c r="L199" s="467"/>
      <c r="M199" s="511"/>
      <c r="N199" s="164"/>
      <c r="O199" s="164"/>
      <c r="P199" s="164"/>
      <c r="Q199" s="164"/>
      <c r="R199" s="164"/>
    </row>
    <row r="200" spans="1:18" s="116" customFormat="1" ht="12">
      <c r="A200" s="82"/>
      <c r="B200" s="44"/>
      <c r="C200" s="82"/>
      <c r="D200" s="82"/>
      <c r="E200" s="82"/>
      <c r="F200" s="82"/>
      <c r="G200" s="82"/>
      <c r="H200" s="82"/>
      <c r="I200" s="82"/>
      <c r="J200" s="82"/>
      <c r="K200" s="82"/>
      <c r="L200" s="83" t="s">
        <v>24</v>
      </c>
      <c r="M200" s="153" t="s">
        <v>32</v>
      </c>
      <c r="N200" s="166">
        <f>N202+N206</f>
        <v>3828.7</v>
      </c>
      <c r="O200" s="166">
        <f>O202+O206</f>
        <v>3828.7</v>
      </c>
      <c r="P200" s="166">
        <f>P202+P206</f>
        <v>4818.5</v>
      </c>
      <c r="Q200" s="166">
        <f>Q202+Q206+Q207</f>
        <v>11979.1</v>
      </c>
      <c r="R200" s="166">
        <f>R202+R206+R207</f>
        <v>22748.2</v>
      </c>
    </row>
    <row r="201" spans="1:18" s="116" customFormat="1" ht="12">
      <c r="A201" s="85"/>
      <c r="B201" s="119"/>
      <c r="C201" s="85"/>
      <c r="D201" s="85"/>
      <c r="E201" s="85"/>
      <c r="F201" s="85"/>
      <c r="G201" s="85"/>
      <c r="H201" s="85"/>
      <c r="I201" s="85"/>
      <c r="J201" s="85"/>
      <c r="K201" s="85"/>
      <c r="L201" s="87" t="s">
        <v>24</v>
      </c>
      <c r="M201" s="87" t="s">
        <v>41</v>
      </c>
      <c r="N201" s="86">
        <f>N204+N205</f>
        <v>402.99</v>
      </c>
      <c r="O201" s="86">
        <f>O204+O205</f>
        <v>402.99</v>
      </c>
      <c r="P201" s="86">
        <f>P204+P205</f>
        <v>0</v>
      </c>
      <c r="Q201" s="86">
        <f>Q204+Q205</f>
        <v>0</v>
      </c>
      <c r="R201" s="86">
        <f>R204+R205</f>
        <v>0</v>
      </c>
    </row>
    <row r="202" spans="1:18" s="114" customFormat="1" ht="120.75" customHeight="1">
      <c r="A202" s="545" t="s">
        <v>830</v>
      </c>
      <c r="B202" s="459"/>
      <c r="C202" s="452" t="s">
        <v>56</v>
      </c>
      <c r="D202" s="452" t="s">
        <v>127</v>
      </c>
      <c r="E202" s="452" t="s">
        <v>57</v>
      </c>
      <c r="F202" s="452" t="s">
        <v>462</v>
      </c>
      <c r="G202" s="452" t="s">
        <v>464</v>
      </c>
      <c r="H202" s="452" t="s">
        <v>463</v>
      </c>
      <c r="I202" s="452" t="s">
        <v>1299</v>
      </c>
      <c r="J202" s="452" t="s">
        <v>128</v>
      </c>
      <c r="K202" s="513" t="s">
        <v>129</v>
      </c>
      <c r="L202" s="519" t="s">
        <v>24</v>
      </c>
      <c r="M202" s="154" t="s">
        <v>32</v>
      </c>
      <c r="N202" s="89">
        <v>3828.7</v>
      </c>
      <c r="O202" s="89">
        <v>3828.7</v>
      </c>
      <c r="P202" s="89">
        <v>4818.5</v>
      </c>
      <c r="Q202" s="89">
        <v>4768.5</v>
      </c>
      <c r="R202" s="89">
        <v>4768.5</v>
      </c>
    </row>
    <row r="203" spans="1:18" s="114" customFormat="1" ht="48.75" customHeight="1">
      <c r="A203" s="545"/>
      <c r="B203" s="459"/>
      <c r="C203" s="453"/>
      <c r="D203" s="453"/>
      <c r="E203" s="453"/>
      <c r="F203" s="453"/>
      <c r="G203" s="453"/>
      <c r="H203" s="453"/>
      <c r="I203" s="453" t="s">
        <v>470</v>
      </c>
      <c r="J203" s="453" t="s">
        <v>68</v>
      </c>
      <c r="K203" s="453" t="s">
        <v>444</v>
      </c>
      <c r="L203" s="509"/>
      <c r="M203" s="149"/>
      <c r="N203" s="89"/>
      <c r="O203" s="89"/>
      <c r="P203" s="89"/>
      <c r="Q203" s="89"/>
      <c r="R203" s="89"/>
    </row>
    <row r="204" spans="1:18" s="114" customFormat="1" ht="84.75" customHeight="1">
      <c r="A204" s="545"/>
      <c r="B204" s="459"/>
      <c r="C204" s="459" t="s">
        <v>459</v>
      </c>
      <c r="D204" s="459" t="s">
        <v>460</v>
      </c>
      <c r="E204" s="459" t="s">
        <v>461</v>
      </c>
      <c r="F204" s="45"/>
      <c r="G204" s="45"/>
      <c r="H204" s="45"/>
      <c r="I204" s="459" t="s">
        <v>812</v>
      </c>
      <c r="J204" s="459" t="s">
        <v>68</v>
      </c>
      <c r="K204" s="507" t="s">
        <v>116</v>
      </c>
      <c r="L204" s="519" t="s">
        <v>24</v>
      </c>
      <c r="M204" s="154" t="s">
        <v>41</v>
      </c>
      <c r="N204" s="89">
        <v>19.190000000000001</v>
      </c>
      <c r="O204" s="89">
        <v>19.190000000000001</v>
      </c>
      <c r="P204" s="89">
        <v>0</v>
      </c>
      <c r="Q204" s="89">
        <v>0</v>
      </c>
      <c r="R204" s="89">
        <v>0</v>
      </c>
    </row>
    <row r="205" spans="1:18" s="114" customFormat="1" ht="108">
      <c r="A205" s="444" t="s">
        <v>1029</v>
      </c>
      <c r="B205" s="509" t="s">
        <v>985</v>
      </c>
      <c r="C205" s="45"/>
      <c r="D205" s="45"/>
      <c r="E205" s="45"/>
      <c r="F205" s="459" t="s">
        <v>1300</v>
      </c>
      <c r="G205" s="459" t="s">
        <v>1301</v>
      </c>
      <c r="H205" s="459" t="s">
        <v>1345</v>
      </c>
      <c r="I205" s="453" t="s">
        <v>1028</v>
      </c>
      <c r="J205" s="453" t="s">
        <v>68</v>
      </c>
      <c r="K205" s="476" t="s">
        <v>1030</v>
      </c>
      <c r="L205" s="100" t="s">
        <v>24</v>
      </c>
      <c r="M205" s="100" t="s">
        <v>41</v>
      </c>
      <c r="N205" s="125">
        <v>383.8</v>
      </c>
      <c r="O205" s="125">
        <v>383.8</v>
      </c>
      <c r="P205" s="125">
        <v>0</v>
      </c>
      <c r="Q205" s="125">
        <v>0</v>
      </c>
      <c r="R205" s="125">
        <v>0</v>
      </c>
    </row>
    <row r="206" spans="1:18" s="114" customFormat="1" ht="60">
      <c r="A206" s="45" t="s">
        <v>831</v>
      </c>
      <c r="B206" s="459">
        <v>567</v>
      </c>
      <c r="C206" s="45"/>
      <c r="D206" s="45"/>
      <c r="E206" s="45"/>
      <c r="F206" s="552" t="s">
        <v>1300</v>
      </c>
      <c r="G206" s="552" t="s">
        <v>1302</v>
      </c>
      <c r="H206" s="578" t="s">
        <v>1345</v>
      </c>
      <c r="I206" s="520" t="s">
        <v>1107</v>
      </c>
      <c r="J206" s="520" t="s">
        <v>68</v>
      </c>
      <c r="K206" s="520" t="s">
        <v>1108</v>
      </c>
      <c r="L206" s="497">
        <v>11</v>
      </c>
      <c r="M206" s="518" t="s">
        <v>32</v>
      </c>
      <c r="N206" s="88">
        <v>0</v>
      </c>
      <c r="O206" s="88">
        <v>0</v>
      </c>
      <c r="P206" s="88">
        <v>0</v>
      </c>
      <c r="Q206" s="88">
        <v>7210.6</v>
      </c>
      <c r="R206" s="88">
        <v>7210.6</v>
      </c>
    </row>
    <row r="207" spans="1:18" s="114" customFormat="1" ht="48.75" customHeight="1">
      <c r="A207" s="45"/>
      <c r="B207" s="459"/>
      <c r="C207" s="45"/>
      <c r="D207" s="45"/>
      <c r="E207" s="45"/>
      <c r="F207" s="552"/>
      <c r="G207" s="552"/>
      <c r="H207" s="578"/>
      <c r="I207" s="449" t="s">
        <v>91</v>
      </c>
      <c r="J207" s="441" t="s">
        <v>68</v>
      </c>
      <c r="K207" s="441" t="s">
        <v>71</v>
      </c>
      <c r="L207" s="501"/>
      <c r="M207" s="501"/>
      <c r="N207" s="107"/>
      <c r="O207" s="107"/>
      <c r="P207" s="107"/>
      <c r="Q207" s="107"/>
      <c r="R207" s="107">
        <v>10769.1</v>
      </c>
    </row>
    <row r="208" spans="1:18" s="115" customFormat="1" ht="48">
      <c r="A208" s="37" t="s">
        <v>629</v>
      </c>
      <c r="B208" s="467">
        <v>1047</v>
      </c>
      <c r="C208" s="37" t="s">
        <v>31</v>
      </c>
      <c r="D208" s="37" t="s">
        <v>31</v>
      </c>
      <c r="E208" s="37" t="s">
        <v>31</v>
      </c>
      <c r="F208" s="37" t="s">
        <v>31</v>
      </c>
      <c r="G208" s="37" t="s">
        <v>31</v>
      </c>
      <c r="H208" s="37" t="s">
        <v>31</v>
      </c>
      <c r="I208" s="37" t="s">
        <v>31</v>
      </c>
      <c r="J208" s="55" t="s">
        <v>31</v>
      </c>
      <c r="K208" s="55" t="s">
        <v>31</v>
      </c>
      <c r="L208" s="468"/>
      <c r="M208" s="512"/>
      <c r="N208" s="252">
        <f>SUM(N210:N212)</f>
        <v>11638.054999999998</v>
      </c>
      <c r="O208" s="252">
        <f>SUM(O210:O212)</f>
        <v>10836.497000000001</v>
      </c>
      <c r="P208" s="252">
        <f>SUM(P210:P212)</f>
        <v>12987.298000000001</v>
      </c>
      <c r="Q208" s="252">
        <f t="shared" ref="Q208:R208" si="25">SUM(Q210:Q212)</f>
        <v>135987.6</v>
      </c>
      <c r="R208" s="252">
        <f t="shared" si="25"/>
        <v>5527.7999999999993</v>
      </c>
    </row>
    <row r="209" spans="1:18" s="115" customFormat="1" ht="12">
      <c r="A209" s="39" t="s">
        <v>97</v>
      </c>
      <c r="B209" s="40"/>
      <c r="C209" s="39"/>
      <c r="D209" s="39"/>
      <c r="E209" s="39"/>
      <c r="F209" s="39"/>
      <c r="G209" s="39"/>
      <c r="H209" s="39"/>
      <c r="I209" s="39"/>
      <c r="J209" s="39"/>
      <c r="K209" s="39"/>
      <c r="L209" s="467"/>
      <c r="M209" s="511"/>
      <c r="N209" s="164"/>
      <c r="O209" s="164"/>
      <c r="P209" s="164"/>
      <c r="Q209" s="164"/>
      <c r="R209" s="164"/>
    </row>
    <row r="210" spans="1:18" s="116" customFormat="1" ht="12">
      <c r="A210" s="41"/>
      <c r="B210" s="42"/>
      <c r="C210" s="41"/>
      <c r="D210" s="41"/>
      <c r="E210" s="41"/>
      <c r="F210" s="41"/>
      <c r="G210" s="41"/>
      <c r="H210" s="41"/>
      <c r="I210" s="41"/>
      <c r="J210" s="41"/>
      <c r="K210" s="41"/>
      <c r="L210" s="83" t="s">
        <v>24</v>
      </c>
      <c r="M210" s="153" t="s">
        <v>32</v>
      </c>
      <c r="N210" s="166">
        <f>N213</f>
        <v>0</v>
      </c>
      <c r="O210" s="166">
        <f>O213</f>
        <v>0</v>
      </c>
      <c r="P210" s="166">
        <f>P213</f>
        <v>0</v>
      </c>
      <c r="Q210" s="166">
        <f t="shared" ref="Q210:R210" si="26">Q213</f>
        <v>0</v>
      </c>
      <c r="R210" s="166">
        <f t="shared" si="26"/>
        <v>0</v>
      </c>
    </row>
    <row r="211" spans="1:18" s="116" customFormat="1" ht="12">
      <c r="A211" s="82"/>
      <c r="B211" s="44"/>
      <c r="C211" s="82"/>
      <c r="D211" s="82"/>
      <c r="E211" s="82"/>
      <c r="F211" s="82"/>
      <c r="G211" s="82"/>
      <c r="H211" s="82"/>
      <c r="I211" s="82"/>
      <c r="J211" s="82"/>
      <c r="K211" s="82"/>
      <c r="L211" s="83" t="s">
        <v>24</v>
      </c>
      <c r="M211" s="153" t="s">
        <v>36</v>
      </c>
      <c r="N211" s="166">
        <f t="shared" ref="N211:O211" si="27">N215+N219+N220+N221+N222+N223+N224</f>
        <v>11407.789999999999</v>
      </c>
      <c r="O211" s="166">
        <f t="shared" si="27"/>
        <v>10606.232000000002</v>
      </c>
      <c r="P211" s="166">
        <f>P215+P219+P220+P221+P222+P223+P224+P225+P226+P227</f>
        <v>12820.598</v>
      </c>
      <c r="Q211" s="166">
        <f t="shared" ref="Q211:R211" si="28">Q215+Q219+Q220+Q221+Q222+Q223+Q224+Q225+Q226+Q227</f>
        <v>135765.20000000001</v>
      </c>
      <c r="R211" s="166">
        <f t="shared" si="28"/>
        <v>5305.4</v>
      </c>
    </row>
    <row r="212" spans="1:18" s="116" customFormat="1" ht="12">
      <c r="A212" s="85"/>
      <c r="B212" s="119"/>
      <c r="C212" s="85"/>
      <c r="D212" s="85"/>
      <c r="E212" s="85"/>
      <c r="F212" s="85"/>
      <c r="G212" s="85"/>
      <c r="H212" s="85"/>
      <c r="I212" s="85"/>
      <c r="J212" s="85"/>
      <c r="K212" s="85"/>
      <c r="L212" s="87" t="s">
        <v>24</v>
      </c>
      <c r="M212" s="147" t="s">
        <v>41</v>
      </c>
      <c r="N212" s="86">
        <f t="shared" ref="N212" si="29">N217+N218</f>
        <v>230.26500000000001</v>
      </c>
      <c r="O212" s="86">
        <f>O217+O218</f>
        <v>230.26500000000001</v>
      </c>
      <c r="P212" s="86">
        <f>P217+P218</f>
        <v>166.7</v>
      </c>
      <c r="Q212" s="86">
        <f t="shared" ref="Q212:R212" si="30">Q217+Q218</f>
        <v>222.39999999999998</v>
      </c>
      <c r="R212" s="86">
        <f t="shared" si="30"/>
        <v>222.39999999999998</v>
      </c>
    </row>
    <row r="213" spans="1:18" s="114" customFormat="1" ht="120.75" customHeight="1">
      <c r="A213" s="584"/>
      <c r="B213" s="459"/>
      <c r="C213" s="452" t="s">
        <v>56</v>
      </c>
      <c r="D213" s="452" t="s">
        <v>127</v>
      </c>
      <c r="E213" s="452" t="s">
        <v>57</v>
      </c>
      <c r="F213" s="452" t="s">
        <v>462</v>
      </c>
      <c r="G213" s="452" t="s">
        <v>464</v>
      </c>
      <c r="H213" s="452" t="s">
        <v>463</v>
      </c>
      <c r="I213" s="452" t="s">
        <v>1299</v>
      </c>
      <c r="J213" s="452" t="s">
        <v>128</v>
      </c>
      <c r="K213" s="513" t="s">
        <v>129</v>
      </c>
      <c r="L213" s="518" t="s">
        <v>24</v>
      </c>
      <c r="M213" s="480" t="s">
        <v>32</v>
      </c>
      <c r="N213" s="88"/>
      <c r="O213" s="88"/>
      <c r="P213" s="88"/>
      <c r="Q213" s="88"/>
      <c r="R213" s="88"/>
    </row>
    <row r="214" spans="1:18" s="114" customFormat="1" ht="60" customHeight="1">
      <c r="A214" s="545"/>
      <c r="B214" s="459"/>
      <c r="C214" s="459" t="s">
        <v>459</v>
      </c>
      <c r="D214" s="459" t="s">
        <v>460</v>
      </c>
      <c r="E214" s="459" t="s">
        <v>461</v>
      </c>
      <c r="F214" s="45"/>
      <c r="G214" s="45"/>
      <c r="H214" s="45"/>
      <c r="I214" s="521" t="s">
        <v>91</v>
      </c>
      <c r="J214" s="521" t="s">
        <v>68</v>
      </c>
      <c r="K214" s="521" t="s">
        <v>71</v>
      </c>
      <c r="L214" s="519"/>
      <c r="M214" s="154"/>
      <c r="N214" s="89"/>
      <c r="O214" s="89"/>
      <c r="P214" s="89"/>
      <c r="Q214" s="89"/>
      <c r="R214" s="89"/>
    </row>
    <row r="215" spans="1:18" s="114" customFormat="1" ht="119.25" customHeight="1">
      <c r="A215" s="444"/>
      <c r="B215" s="459"/>
      <c r="C215" s="45"/>
      <c r="D215" s="45"/>
      <c r="E215" s="45"/>
      <c r="F215" s="45"/>
      <c r="G215" s="45"/>
      <c r="H215" s="45"/>
      <c r="I215" s="459" t="s">
        <v>1304</v>
      </c>
      <c r="J215" s="45" t="s">
        <v>68</v>
      </c>
      <c r="K215" s="45" t="s">
        <v>126</v>
      </c>
      <c r="L215" s="447">
        <v>11</v>
      </c>
      <c r="M215" s="156" t="s">
        <v>36</v>
      </c>
      <c r="N215" s="125">
        <f>1380.086+1045.963+2299+2692.86</f>
        <v>7417.9089999999997</v>
      </c>
      <c r="O215" s="125">
        <f>1380.086+1045.963+1503+2687.35</f>
        <v>6616.3989999999994</v>
      </c>
      <c r="P215" s="125">
        <f>4968.5+467+815.506</f>
        <v>6251.0060000000003</v>
      </c>
      <c r="Q215" s="125">
        <v>3299</v>
      </c>
      <c r="R215" s="125">
        <f>746.5+3658.9</f>
        <v>4405.3999999999996</v>
      </c>
    </row>
    <row r="216" spans="1:18" s="114" customFormat="1" ht="145.5" customHeight="1">
      <c r="A216" s="444"/>
      <c r="B216" s="459"/>
      <c r="C216" s="45"/>
      <c r="D216" s="45"/>
      <c r="E216" s="45"/>
      <c r="F216" s="45"/>
      <c r="G216" s="45"/>
      <c r="H216" s="45"/>
      <c r="I216" s="476" t="s">
        <v>1024</v>
      </c>
      <c r="J216" s="452" t="s">
        <v>68</v>
      </c>
      <c r="K216" s="452" t="s">
        <v>446</v>
      </c>
      <c r="L216" s="508"/>
      <c r="M216" s="156"/>
      <c r="N216" s="125"/>
      <c r="O216" s="125"/>
      <c r="P216" s="125"/>
      <c r="Q216" s="125"/>
      <c r="R216" s="125"/>
    </row>
    <row r="217" spans="1:18" s="114" customFormat="1" ht="130.5" customHeight="1">
      <c r="A217" s="444"/>
      <c r="B217" s="509" t="s">
        <v>343</v>
      </c>
      <c r="C217" s="45"/>
      <c r="D217" s="45"/>
      <c r="E217" s="45"/>
      <c r="F217" s="552" t="s">
        <v>1300</v>
      </c>
      <c r="G217" s="552" t="s">
        <v>1303</v>
      </c>
      <c r="H217" s="578" t="s">
        <v>1345</v>
      </c>
      <c r="I217" s="552" t="s">
        <v>1396</v>
      </c>
      <c r="J217" s="453" t="s">
        <v>68</v>
      </c>
      <c r="K217" s="476" t="s">
        <v>1397</v>
      </c>
      <c r="L217" s="100" t="s">
        <v>24</v>
      </c>
      <c r="M217" s="100" t="s">
        <v>41</v>
      </c>
      <c r="N217" s="125">
        <v>219.3</v>
      </c>
      <c r="O217" s="125">
        <v>219.3</v>
      </c>
      <c r="P217" s="125">
        <v>153.5</v>
      </c>
      <c r="Q217" s="125">
        <v>209.2</v>
      </c>
      <c r="R217" s="125">
        <v>209.2</v>
      </c>
    </row>
    <row r="218" spans="1:18" s="114" customFormat="1" ht="12">
      <c r="A218" s="444"/>
      <c r="B218" s="509"/>
      <c r="C218" s="45"/>
      <c r="D218" s="45"/>
      <c r="E218" s="45"/>
      <c r="F218" s="552"/>
      <c r="G218" s="552"/>
      <c r="H218" s="578"/>
      <c r="I218" s="552"/>
      <c r="J218" s="475"/>
      <c r="K218" s="330"/>
      <c r="L218" s="100" t="s">
        <v>24</v>
      </c>
      <c r="M218" s="158" t="s">
        <v>41</v>
      </c>
      <c r="N218" s="125">
        <v>10.965</v>
      </c>
      <c r="O218" s="125">
        <v>10.965</v>
      </c>
      <c r="P218" s="125">
        <v>13.2</v>
      </c>
      <c r="Q218" s="125">
        <v>13.2</v>
      </c>
      <c r="R218" s="125">
        <v>13.2</v>
      </c>
    </row>
    <row r="219" spans="1:18" s="114" customFormat="1" ht="62.25" customHeight="1">
      <c r="A219" s="444"/>
      <c r="B219" s="509"/>
      <c r="C219" s="45"/>
      <c r="D219" s="45"/>
      <c r="E219" s="45"/>
      <c r="F219" s="552" t="s">
        <v>1300</v>
      </c>
      <c r="G219" s="552" t="s">
        <v>1305</v>
      </c>
      <c r="H219" s="578" t="s">
        <v>1345</v>
      </c>
      <c r="I219" s="552" t="s">
        <v>1452</v>
      </c>
      <c r="J219" s="552" t="s">
        <v>68</v>
      </c>
      <c r="K219" s="578" t="s">
        <v>1008</v>
      </c>
      <c r="L219" s="518" t="s">
        <v>24</v>
      </c>
      <c r="M219" s="518" t="s">
        <v>36</v>
      </c>
      <c r="N219" s="110">
        <v>90</v>
      </c>
      <c r="O219" s="110">
        <v>90</v>
      </c>
      <c r="P219" s="110">
        <v>90</v>
      </c>
      <c r="Q219" s="110">
        <v>0</v>
      </c>
      <c r="R219" s="110">
        <v>0</v>
      </c>
    </row>
    <row r="220" spans="1:18" s="114" customFormat="1" ht="81.75" customHeight="1">
      <c r="A220" s="444"/>
      <c r="B220" s="509" t="s">
        <v>861</v>
      </c>
      <c r="C220" s="45"/>
      <c r="D220" s="45"/>
      <c r="E220" s="45"/>
      <c r="F220" s="552"/>
      <c r="G220" s="552"/>
      <c r="H220" s="578"/>
      <c r="I220" s="552"/>
      <c r="J220" s="552"/>
      <c r="K220" s="578"/>
      <c r="L220" s="234" t="s">
        <v>24</v>
      </c>
      <c r="M220" s="234" t="s">
        <v>36</v>
      </c>
      <c r="N220" s="383">
        <v>900</v>
      </c>
      <c r="O220" s="383">
        <v>900</v>
      </c>
      <c r="P220" s="383">
        <v>900</v>
      </c>
      <c r="Q220" s="383">
        <v>900</v>
      </c>
      <c r="R220" s="533">
        <v>900</v>
      </c>
    </row>
    <row r="221" spans="1:18" s="114" customFormat="1" ht="36" customHeight="1">
      <c r="A221" s="444"/>
      <c r="B221" s="509" t="s">
        <v>984</v>
      </c>
      <c r="C221" s="45"/>
      <c r="D221" s="45"/>
      <c r="E221" s="45"/>
      <c r="F221" s="552" t="s">
        <v>1300</v>
      </c>
      <c r="G221" s="552" t="s">
        <v>1306</v>
      </c>
      <c r="H221" s="552" t="s">
        <v>1345</v>
      </c>
      <c r="I221" s="552" t="s">
        <v>1011</v>
      </c>
      <c r="J221" s="552" t="s">
        <v>68</v>
      </c>
      <c r="K221" s="632" t="s">
        <v>1012</v>
      </c>
      <c r="L221" s="234" t="s">
        <v>24</v>
      </c>
      <c r="M221" s="234" t="s">
        <v>36</v>
      </c>
      <c r="N221" s="235">
        <v>2822.5859999999998</v>
      </c>
      <c r="O221" s="235">
        <v>2822.5390000000002</v>
      </c>
      <c r="P221" s="235">
        <v>0</v>
      </c>
      <c r="Q221" s="235">
        <v>0</v>
      </c>
      <c r="R221" s="273">
        <v>0</v>
      </c>
    </row>
    <row r="222" spans="1:18" s="114" customFormat="1" ht="36" customHeight="1">
      <c r="A222" s="444"/>
      <c r="B222" s="509"/>
      <c r="C222" s="45"/>
      <c r="D222" s="45"/>
      <c r="E222" s="45"/>
      <c r="F222" s="552"/>
      <c r="G222" s="552"/>
      <c r="H222" s="552"/>
      <c r="I222" s="552"/>
      <c r="J222" s="552"/>
      <c r="K222" s="552"/>
      <c r="L222" s="234" t="s">
        <v>24</v>
      </c>
      <c r="M222" s="234" t="s">
        <v>36</v>
      </c>
      <c r="N222" s="235">
        <v>89.995000000000005</v>
      </c>
      <c r="O222" s="235">
        <v>89.995000000000005</v>
      </c>
      <c r="P222" s="235">
        <v>0</v>
      </c>
      <c r="Q222" s="235">
        <v>0</v>
      </c>
      <c r="R222" s="273">
        <v>0</v>
      </c>
    </row>
    <row r="223" spans="1:18" s="114" customFormat="1" ht="36" customHeight="1">
      <c r="A223" s="444"/>
      <c r="B223" s="509" t="s">
        <v>983</v>
      </c>
      <c r="C223" s="45"/>
      <c r="D223" s="45"/>
      <c r="E223" s="45"/>
      <c r="F223" s="552"/>
      <c r="G223" s="552"/>
      <c r="H223" s="552"/>
      <c r="I223" s="552"/>
      <c r="J223" s="552"/>
      <c r="K223" s="552"/>
      <c r="L223" s="508" t="s">
        <v>24</v>
      </c>
      <c r="M223" s="508" t="s">
        <v>36</v>
      </c>
      <c r="N223" s="394">
        <v>87.3</v>
      </c>
      <c r="O223" s="394">
        <v>87.299000000000007</v>
      </c>
      <c r="P223" s="394">
        <v>0</v>
      </c>
      <c r="Q223" s="394">
        <v>0</v>
      </c>
      <c r="R223" s="395">
        <v>0</v>
      </c>
    </row>
    <row r="224" spans="1:18" s="114" customFormat="1" ht="102" customHeight="1">
      <c r="A224" s="444"/>
      <c r="B224" s="509" t="s">
        <v>1203</v>
      </c>
      <c r="C224" s="45"/>
      <c r="D224" s="45"/>
      <c r="E224" s="45"/>
      <c r="F224" s="459"/>
      <c r="G224" s="459"/>
      <c r="H224" s="459"/>
      <c r="I224" s="552" t="s">
        <v>1394</v>
      </c>
      <c r="J224" s="552" t="s">
        <v>68</v>
      </c>
      <c r="K224" s="552" t="s">
        <v>1395</v>
      </c>
      <c r="L224" s="141" t="s">
        <v>24</v>
      </c>
      <c r="M224" s="100" t="s">
        <v>36</v>
      </c>
      <c r="N224" s="110">
        <v>0</v>
      </c>
      <c r="O224" s="110">
        <v>0</v>
      </c>
      <c r="P224" s="110">
        <v>4339.2</v>
      </c>
      <c r="Q224" s="110">
        <v>131566.20000000001</v>
      </c>
      <c r="R224" s="110">
        <v>0</v>
      </c>
    </row>
    <row r="225" spans="1:18" s="114" customFormat="1" ht="30" customHeight="1">
      <c r="A225" s="444"/>
      <c r="B225" s="509"/>
      <c r="C225" s="45"/>
      <c r="D225" s="45"/>
      <c r="E225" s="45"/>
      <c r="F225" s="459"/>
      <c r="G225" s="459"/>
      <c r="H225" s="459"/>
      <c r="I225" s="552"/>
      <c r="J225" s="552"/>
      <c r="K225" s="552"/>
      <c r="L225" s="141" t="s">
        <v>24</v>
      </c>
      <c r="M225" s="100" t="s">
        <v>36</v>
      </c>
      <c r="N225" s="110">
        <v>0</v>
      </c>
      <c r="O225" s="110">
        <v>0</v>
      </c>
      <c r="P225" s="110">
        <v>1037.086</v>
      </c>
      <c r="Q225" s="110">
        <v>0</v>
      </c>
      <c r="R225" s="110">
        <v>0</v>
      </c>
    </row>
    <row r="226" spans="1:18" s="114" customFormat="1" ht="48">
      <c r="A226" s="444"/>
      <c r="B226" s="509" t="s">
        <v>474</v>
      </c>
      <c r="C226" s="45"/>
      <c r="D226" s="45"/>
      <c r="E226" s="45"/>
      <c r="F226" s="459"/>
      <c r="G226" s="459"/>
      <c r="H226" s="459"/>
      <c r="I226" s="453" t="s">
        <v>1469</v>
      </c>
      <c r="J226" s="453" t="s">
        <v>68</v>
      </c>
      <c r="K226" s="453" t="s">
        <v>1466</v>
      </c>
      <c r="L226" s="368" t="s">
        <v>24</v>
      </c>
      <c r="M226" s="368" t="s">
        <v>36</v>
      </c>
      <c r="N226" s="427">
        <v>0</v>
      </c>
      <c r="O226" s="427">
        <v>0</v>
      </c>
      <c r="P226" s="427">
        <v>100</v>
      </c>
      <c r="Q226" s="427">
        <v>0</v>
      </c>
      <c r="R226" s="428">
        <v>0</v>
      </c>
    </row>
    <row r="227" spans="1:18" s="114" customFormat="1" ht="60" customHeight="1">
      <c r="A227" s="471"/>
      <c r="B227" s="72" t="s">
        <v>480</v>
      </c>
      <c r="C227" s="48"/>
      <c r="D227" s="48"/>
      <c r="E227" s="48"/>
      <c r="F227" s="448"/>
      <c r="G227" s="448"/>
      <c r="H227" s="448"/>
      <c r="I227" s="453" t="s">
        <v>1470</v>
      </c>
      <c r="J227" s="478" t="s">
        <v>68</v>
      </c>
      <c r="K227" s="478" t="s">
        <v>1466</v>
      </c>
      <c r="L227" s="234" t="s">
        <v>24</v>
      </c>
      <c r="M227" s="234" t="s">
        <v>36</v>
      </c>
      <c r="N227" s="235">
        <v>0</v>
      </c>
      <c r="O227" s="235">
        <v>0</v>
      </c>
      <c r="P227" s="235">
        <v>103.306</v>
      </c>
      <c r="Q227" s="427">
        <v>0</v>
      </c>
      <c r="R227" s="428">
        <v>0</v>
      </c>
    </row>
    <row r="228" spans="1:18" s="115" customFormat="1" ht="36">
      <c r="A228" s="231" t="s">
        <v>630</v>
      </c>
      <c r="B228" s="40">
        <v>1048</v>
      </c>
      <c r="C228" s="39"/>
      <c r="D228" s="39"/>
      <c r="E228" s="39"/>
      <c r="F228" s="39"/>
      <c r="G228" s="39"/>
      <c r="H228" s="39"/>
      <c r="I228" s="2"/>
      <c r="J228" s="2"/>
      <c r="K228" s="2"/>
      <c r="L228" s="473"/>
      <c r="M228" s="159"/>
      <c r="N228" s="329">
        <f>SUM(N229:N229)</f>
        <v>300</v>
      </c>
      <c r="O228" s="329">
        <f>SUM(O229:O229)</f>
        <v>300</v>
      </c>
      <c r="P228" s="329">
        <f>SUM(P229:P229)</f>
        <v>300</v>
      </c>
      <c r="Q228" s="329">
        <f t="shared" ref="Q228:R228" si="31">SUM(Q229:Q229)</f>
        <v>300</v>
      </c>
      <c r="R228" s="329">
        <f t="shared" si="31"/>
        <v>300</v>
      </c>
    </row>
    <row r="229" spans="1:18" s="114" customFormat="1" ht="72.75" customHeight="1">
      <c r="A229" s="52"/>
      <c r="B229" s="467"/>
      <c r="C229" s="442" t="s">
        <v>130</v>
      </c>
      <c r="D229" s="442" t="s">
        <v>131</v>
      </c>
      <c r="E229" s="442" t="s">
        <v>57</v>
      </c>
      <c r="F229" s="442"/>
      <c r="G229" s="442"/>
      <c r="H229" s="442"/>
      <c r="I229" s="452" t="s">
        <v>1307</v>
      </c>
      <c r="J229" s="452" t="s">
        <v>99</v>
      </c>
      <c r="K229" s="452" t="s">
        <v>132</v>
      </c>
      <c r="L229" s="84" t="s">
        <v>43</v>
      </c>
      <c r="M229" s="506" t="s">
        <v>43</v>
      </c>
      <c r="N229" s="63">
        <v>300</v>
      </c>
      <c r="O229" s="63">
        <v>300</v>
      </c>
      <c r="P229" s="63">
        <v>300</v>
      </c>
      <c r="Q229" s="63">
        <v>300</v>
      </c>
      <c r="R229" s="63">
        <v>300</v>
      </c>
    </row>
    <row r="230" spans="1:18" s="115" customFormat="1" ht="51.75" customHeight="1">
      <c r="A230" s="37" t="s">
        <v>1037</v>
      </c>
      <c r="B230" s="467">
        <v>1068</v>
      </c>
      <c r="C230" s="37" t="s">
        <v>31</v>
      </c>
      <c r="D230" s="37" t="s">
        <v>31</v>
      </c>
      <c r="E230" s="37" t="s">
        <v>31</v>
      </c>
      <c r="F230" s="37" t="s">
        <v>31</v>
      </c>
      <c r="G230" s="37" t="s">
        <v>31</v>
      </c>
      <c r="H230" s="37" t="s">
        <v>31</v>
      </c>
      <c r="I230" s="37" t="s">
        <v>31</v>
      </c>
      <c r="J230" s="37" t="s">
        <v>31</v>
      </c>
      <c r="K230" s="37" t="s">
        <v>31</v>
      </c>
      <c r="L230" s="467" t="s">
        <v>40</v>
      </c>
      <c r="M230" s="511" t="s">
        <v>32</v>
      </c>
      <c r="N230" s="164">
        <f>SUM(N232:N244)</f>
        <v>38933.629999999997</v>
      </c>
      <c r="O230" s="164">
        <f>SUM(O232:O244)</f>
        <v>38933.629999999997</v>
      </c>
      <c r="P230" s="164">
        <f>SUM(P232:P244)</f>
        <v>40340.818499999994</v>
      </c>
      <c r="Q230" s="164">
        <f t="shared" ref="Q230:R230" si="32">SUM(Q232:Q244)</f>
        <v>9459.4</v>
      </c>
      <c r="R230" s="164">
        <f t="shared" si="32"/>
        <v>9459.4</v>
      </c>
    </row>
    <row r="231" spans="1:18" s="115" customFormat="1" ht="12">
      <c r="A231" s="37" t="s">
        <v>97</v>
      </c>
      <c r="B231" s="467"/>
      <c r="C231" s="37"/>
      <c r="D231" s="37"/>
      <c r="E231" s="37"/>
      <c r="F231" s="37"/>
      <c r="G231" s="37"/>
      <c r="H231" s="37"/>
      <c r="I231" s="37"/>
      <c r="J231" s="37"/>
      <c r="K231" s="37"/>
      <c r="L231" s="467"/>
      <c r="M231" s="511"/>
      <c r="N231" s="164"/>
      <c r="O231" s="164"/>
      <c r="P231" s="164"/>
      <c r="Q231" s="164"/>
      <c r="R231" s="164"/>
    </row>
    <row r="232" spans="1:18" s="115" customFormat="1" ht="60" customHeight="1">
      <c r="A232" s="37"/>
      <c r="B232" s="467"/>
      <c r="C232" s="461" t="s">
        <v>56</v>
      </c>
      <c r="D232" s="461" t="s">
        <v>837</v>
      </c>
      <c r="E232" s="461" t="s">
        <v>57</v>
      </c>
      <c r="F232" s="568" t="s">
        <v>842</v>
      </c>
      <c r="G232" s="461" t="s">
        <v>93</v>
      </c>
      <c r="H232" s="461" t="s">
        <v>841</v>
      </c>
      <c r="I232" s="461" t="s">
        <v>136</v>
      </c>
      <c r="J232" s="461" t="s">
        <v>68</v>
      </c>
      <c r="K232" s="22" t="s">
        <v>116</v>
      </c>
      <c r="L232" s="65"/>
      <c r="M232" s="160"/>
      <c r="N232" s="63">
        <f>745.139+511.063+7687.5+275.391+2.672</f>
        <v>9221.7649999999994</v>
      </c>
      <c r="O232" s="63">
        <f>745.139+511.063+7687.5+275.391+2.672</f>
        <v>9221.7649999999994</v>
      </c>
      <c r="P232" s="63">
        <f>11186.877+984.283/2+65.7+7830.9+258.6</f>
        <v>19834.218499999999</v>
      </c>
      <c r="Q232" s="63">
        <f>8540.1+919.3</f>
        <v>9459.4</v>
      </c>
      <c r="R232" s="63">
        <f>8540.1+919.3</f>
        <v>9459.4</v>
      </c>
    </row>
    <row r="233" spans="1:18" s="115" customFormat="1" ht="72" customHeight="1">
      <c r="A233" s="55"/>
      <c r="B233" s="468"/>
      <c r="C233" s="474" t="s">
        <v>838</v>
      </c>
      <c r="D233" s="474" t="s">
        <v>839</v>
      </c>
      <c r="E233" s="378">
        <v>34716</v>
      </c>
      <c r="F233" s="577"/>
      <c r="G233" s="474"/>
      <c r="H233" s="474"/>
      <c r="I233" s="474" t="s">
        <v>471</v>
      </c>
      <c r="J233" s="474" t="s">
        <v>68</v>
      </c>
      <c r="K233" s="474" t="s">
        <v>116</v>
      </c>
      <c r="L233" s="468"/>
      <c r="M233" s="512"/>
      <c r="N233" s="47"/>
      <c r="O233" s="47"/>
      <c r="P233" s="47"/>
      <c r="Q233" s="47"/>
      <c r="R233" s="47"/>
    </row>
    <row r="234" spans="1:18" s="114" customFormat="1" ht="71.25" customHeight="1">
      <c r="A234" s="45"/>
      <c r="B234" s="459"/>
      <c r="C234" s="474"/>
      <c r="D234" s="474"/>
      <c r="E234" s="474"/>
      <c r="F234" s="474"/>
      <c r="G234" s="474"/>
      <c r="H234" s="474"/>
      <c r="I234" s="521" t="s">
        <v>442</v>
      </c>
      <c r="J234" s="521" t="s">
        <v>68</v>
      </c>
      <c r="K234" s="9" t="s">
        <v>443</v>
      </c>
      <c r="L234" s="459"/>
      <c r="M234" s="507"/>
      <c r="N234" s="47"/>
      <c r="O234" s="47"/>
      <c r="P234" s="47"/>
      <c r="Q234" s="47"/>
      <c r="R234" s="47"/>
    </row>
    <row r="235" spans="1:18" s="115" customFormat="1" ht="60">
      <c r="A235" s="55"/>
      <c r="B235" s="468"/>
      <c r="C235" s="474"/>
      <c r="D235" s="474"/>
      <c r="E235" s="474"/>
      <c r="F235" s="474"/>
      <c r="G235" s="474"/>
      <c r="H235" s="474"/>
      <c r="I235" s="474" t="s">
        <v>137</v>
      </c>
      <c r="J235" s="474" t="s">
        <v>68</v>
      </c>
      <c r="K235" s="510" t="s">
        <v>116</v>
      </c>
      <c r="L235" s="485"/>
      <c r="M235" s="151"/>
      <c r="N235" s="77"/>
      <c r="O235" s="77"/>
      <c r="P235" s="77"/>
      <c r="Q235" s="77"/>
      <c r="R235" s="77"/>
    </row>
    <row r="236" spans="1:18" s="115" customFormat="1" ht="108">
      <c r="A236" s="55"/>
      <c r="B236" s="468"/>
      <c r="C236" s="474"/>
      <c r="D236" s="474"/>
      <c r="E236" s="474"/>
      <c r="F236" s="474"/>
      <c r="G236" s="474"/>
      <c r="H236" s="474"/>
      <c r="I236" s="474" t="s">
        <v>138</v>
      </c>
      <c r="J236" s="474" t="s">
        <v>68</v>
      </c>
      <c r="K236" s="510" t="s">
        <v>116</v>
      </c>
      <c r="L236" s="485"/>
      <c r="M236" s="151"/>
      <c r="N236" s="77"/>
      <c r="O236" s="77"/>
      <c r="P236" s="77"/>
      <c r="Q236" s="77"/>
      <c r="R236" s="77"/>
    </row>
    <row r="237" spans="1:18" s="115" customFormat="1" ht="72">
      <c r="A237" s="55"/>
      <c r="B237" s="468"/>
      <c r="C237" s="474"/>
      <c r="D237" s="474"/>
      <c r="E237" s="474"/>
      <c r="F237" s="474"/>
      <c r="G237" s="474"/>
      <c r="H237" s="474"/>
      <c r="I237" s="474" t="s">
        <v>493</v>
      </c>
      <c r="J237" s="474" t="s">
        <v>68</v>
      </c>
      <c r="K237" s="510" t="s">
        <v>492</v>
      </c>
      <c r="L237" s="485"/>
      <c r="M237" s="151"/>
      <c r="N237" s="77"/>
      <c r="O237" s="77"/>
      <c r="P237" s="77"/>
      <c r="Q237" s="77"/>
      <c r="R237" s="77"/>
    </row>
    <row r="238" spans="1:18" s="115" customFormat="1" ht="47.25" customHeight="1">
      <c r="A238" s="55"/>
      <c r="B238" s="468"/>
      <c r="C238" s="474"/>
      <c r="D238" s="474"/>
      <c r="E238" s="474"/>
      <c r="F238" s="474"/>
      <c r="G238" s="474"/>
      <c r="H238" s="474"/>
      <c r="I238" s="474" t="s">
        <v>439</v>
      </c>
      <c r="J238" s="474" t="s">
        <v>68</v>
      </c>
      <c r="K238" s="510" t="s">
        <v>71</v>
      </c>
      <c r="L238" s="485"/>
      <c r="M238" s="151"/>
      <c r="N238" s="77"/>
      <c r="O238" s="77"/>
      <c r="P238" s="77"/>
      <c r="Q238" s="77"/>
      <c r="R238" s="77"/>
    </row>
    <row r="239" spans="1:18" s="114" customFormat="1" ht="60" customHeight="1">
      <c r="A239" s="54"/>
      <c r="B239" s="519" t="s">
        <v>520</v>
      </c>
      <c r="C239" s="520"/>
      <c r="D239" s="520"/>
      <c r="E239" s="520"/>
      <c r="F239" s="520"/>
      <c r="G239" s="520"/>
      <c r="H239" s="520"/>
      <c r="I239" s="520" t="s">
        <v>1308</v>
      </c>
      <c r="J239" s="520" t="s">
        <v>68</v>
      </c>
      <c r="K239" s="363" t="s">
        <v>1457</v>
      </c>
      <c r="L239" s="364"/>
      <c r="M239" s="144"/>
      <c r="N239" s="47">
        <v>29.79</v>
      </c>
      <c r="O239" s="47">
        <v>29.79</v>
      </c>
      <c r="P239" s="47">
        <v>0</v>
      </c>
      <c r="Q239" s="47">
        <v>0</v>
      </c>
      <c r="R239" s="47">
        <v>0</v>
      </c>
    </row>
    <row r="240" spans="1:18" s="114" customFormat="1" ht="62.25" customHeight="1">
      <c r="A240" s="54"/>
      <c r="B240" s="519" t="s">
        <v>474</v>
      </c>
      <c r="C240" s="520"/>
      <c r="D240" s="520"/>
      <c r="E240" s="520"/>
      <c r="F240" s="520"/>
      <c r="G240" s="520"/>
      <c r="H240" s="520"/>
      <c r="I240" s="520" t="s">
        <v>1456</v>
      </c>
      <c r="J240" s="520" t="s">
        <v>68</v>
      </c>
      <c r="K240" s="520" t="s">
        <v>1458</v>
      </c>
      <c r="L240" s="464"/>
      <c r="M240" s="464"/>
      <c r="N240" s="47">
        <v>0</v>
      </c>
      <c r="O240" s="47">
        <v>0</v>
      </c>
      <c r="P240" s="47">
        <v>100</v>
      </c>
      <c r="Q240" s="47">
        <v>0</v>
      </c>
      <c r="R240" s="47">
        <v>0</v>
      </c>
    </row>
    <row r="241" spans="1:18" s="114" customFormat="1" ht="29.25" customHeight="1">
      <c r="A241" s="45"/>
      <c r="B241" s="509" t="s">
        <v>585</v>
      </c>
      <c r="C241" s="81"/>
      <c r="D241" s="81"/>
      <c r="E241" s="81"/>
      <c r="F241" s="664" t="s">
        <v>1287</v>
      </c>
      <c r="G241" s="662" t="s">
        <v>1309</v>
      </c>
      <c r="H241" s="663" t="s">
        <v>1345</v>
      </c>
      <c r="I241" s="577" t="s">
        <v>1055</v>
      </c>
      <c r="J241" s="577" t="s">
        <v>68</v>
      </c>
      <c r="K241" s="644" t="s">
        <v>1056</v>
      </c>
      <c r="L241" s="464"/>
      <c r="M241" s="144"/>
      <c r="N241" s="47"/>
      <c r="O241" s="47"/>
      <c r="P241" s="47"/>
      <c r="Q241" s="47"/>
      <c r="R241" s="47"/>
    </row>
    <row r="242" spans="1:18" s="114" customFormat="1" ht="29.25" customHeight="1">
      <c r="A242" s="45"/>
      <c r="B242" s="509" t="s">
        <v>586</v>
      </c>
      <c r="C242" s="81"/>
      <c r="D242" s="81"/>
      <c r="E242" s="81"/>
      <c r="F242" s="664"/>
      <c r="G242" s="662"/>
      <c r="H242" s="663"/>
      <c r="I242" s="577"/>
      <c r="J242" s="577"/>
      <c r="K242" s="644"/>
      <c r="L242" s="464"/>
      <c r="M242" s="144"/>
      <c r="N242" s="47">
        <v>24.276</v>
      </c>
      <c r="O242" s="47">
        <v>24.276</v>
      </c>
      <c r="P242" s="47">
        <v>0</v>
      </c>
      <c r="Q242" s="47">
        <v>0</v>
      </c>
      <c r="R242" s="47">
        <v>0</v>
      </c>
    </row>
    <row r="243" spans="1:18" s="114" customFormat="1" ht="29.25" customHeight="1">
      <c r="A243" s="45"/>
      <c r="B243" s="509" t="s">
        <v>587</v>
      </c>
      <c r="C243" s="81"/>
      <c r="D243" s="81"/>
      <c r="E243" s="81"/>
      <c r="F243" s="664"/>
      <c r="G243" s="662"/>
      <c r="H243" s="663"/>
      <c r="I243" s="577"/>
      <c r="J243" s="577"/>
      <c r="K243" s="644"/>
      <c r="L243" s="464"/>
      <c r="M243" s="144"/>
      <c r="N243" s="47">
        <v>26.498999999999999</v>
      </c>
      <c r="O243" s="47">
        <v>26.498999999999999</v>
      </c>
      <c r="P243" s="47">
        <v>0</v>
      </c>
      <c r="Q243" s="47">
        <v>0</v>
      </c>
      <c r="R243" s="47">
        <v>0</v>
      </c>
    </row>
    <row r="244" spans="1:18" s="114" customFormat="1" ht="95.25" customHeight="1">
      <c r="A244" s="45"/>
      <c r="B244" s="509" t="s">
        <v>135</v>
      </c>
      <c r="C244" s="81"/>
      <c r="D244" s="81"/>
      <c r="E244" s="81"/>
      <c r="F244" s="391" t="s">
        <v>1287</v>
      </c>
      <c r="G244" s="391" t="s">
        <v>1288</v>
      </c>
      <c r="H244" s="391" t="s">
        <v>82</v>
      </c>
      <c r="I244" s="453" t="s">
        <v>1439</v>
      </c>
      <c r="J244" s="453" t="s">
        <v>68</v>
      </c>
      <c r="K244" s="453" t="s">
        <v>1238</v>
      </c>
      <c r="L244" s="464"/>
      <c r="M244" s="144"/>
      <c r="N244" s="47">
        <v>29631.3</v>
      </c>
      <c r="O244" s="47">
        <v>29631.3</v>
      </c>
      <c r="P244" s="47">
        <v>20406.599999999999</v>
      </c>
      <c r="Q244" s="47">
        <v>0</v>
      </c>
      <c r="R244" s="47">
        <v>0</v>
      </c>
    </row>
    <row r="245" spans="1:18" s="114" customFormat="1" ht="72" customHeight="1">
      <c r="A245" s="39" t="s">
        <v>1412</v>
      </c>
      <c r="B245" s="176" t="s">
        <v>1413</v>
      </c>
      <c r="C245" s="534"/>
      <c r="D245" s="534"/>
      <c r="E245" s="534"/>
      <c r="F245" s="535"/>
      <c r="G245" s="535"/>
      <c r="H245" s="535"/>
      <c r="I245" s="524" t="s">
        <v>91</v>
      </c>
      <c r="J245" s="318" t="s">
        <v>68</v>
      </c>
      <c r="K245" s="525" t="s">
        <v>71</v>
      </c>
      <c r="L245" s="488"/>
      <c r="M245" s="488"/>
      <c r="N245" s="242">
        <v>0</v>
      </c>
      <c r="O245" s="242">
        <v>0</v>
      </c>
      <c r="P245" s="242">
        <v>43.8</v>
      </c>
      <c r="Q245" s="242">
        <v>43.8</v>
      </c>
      <c r="R245" s="536">
        <v>43.8</v>
      </c>
    </row>
    <row r="246" spans="1:18" s="115" customFormat="1" ht="84">
      <c r="A246" s="55" t="s">
        <v>1165</v>
      </c>
      <c r="B246" s="494" t="s">
        <v>1166</v>
      </c>
      <c r="C246" s="411"/>
      <c r="D246" s="429"/>
      <c r="E246" s="429"/>
      <c r="F246" s="430"/>
      <c r="G246" s="430"/>
      <c r="H246" s="430"/>
      <c r="I246" s="528" t="s">
        <v>1297</v>
      </c>
      <c r="J246" s="528" t="s">
        <v>68</v>
      </c>
      <c r="K246" s="528" t="s">
        <v>543</v>
      </c>
      <c r="L246" s="458" t="s">
        <v>37</v>
      </c>
      <c r="M246" s="458" t="s">
        <v>35</v>
      </c>
      <c r="N246" s="175">
        <v>0</v>
      </c>
      <c r="O246" s="77">
        <v>0</v>
      </c>
      <c r="P246" s="77">
        <v>1575</v>
      </c>
      <c r="Q246" s="77">
        <v>0</v>
      </c>
      <c r="R246" s="77">
        <v>0</v>
      </c>
    </row>
    <row r="247" spans="1:18" s="115" customFormat="1" ht="72">
      <c r="A247" s="37" t="s">
        <v>550</v>
      </c>
      <c r="B247" s="467" t="s">
        <v>46</v>
      </c>
      <c r="C247" s="467" t="s">
        <v>29</v>
      </c>
      <c r="D247" s="467" t="s">
        <v>29</v>
      </c>
      <c r="E247" s="467" t="s">
        <v>29</v>
      </c>
      <c r="F247" s="467" t="s">
        <v>29</v>
      </c>
      <c r="G247" s="467" t="s">
        <v>29</v>
      </c>
      <c r="H247" s="467" t="s">
        <v>29</v>
      </c>
      <c r="I247" s="467" t="s">
        <v>29</v>
      </c>
      <c r="J247" s="467" t="s">
        <v>29</v>
      </c>
      <c r="K247" s="467" t="s">
        <v>29</v>
      </c>
      <c r="L247" s="467"/>
      <c r="M247" s="511"/>
      <c r="N247" s="164">
        <f>N248+N249+N251+N252</f>
        <v>62232.574999999997</v>
      </c>
      <c r="O247" s="164">
        <f>O248+O249+O251+O252</f>
        <v>62232.574999999997</v>
      </c>
      <c r="P247" s="164">
        <f>P248+P249+P251+P252</f>
        <v>65238.600000000006</v>
      </c>
      <c r="Q247" s="164">
        <f t="shared" ref="Q247:R247" si="33">Q248+Q249+Q251+Q252</f>
        <v>0</v>
      </c>
      <c r="R247" s="164">
        <f t="shared" si="33"/>
        <v>0</v>
      </c>
    </row>
    <row r="248" spans="1:18" s="115" customFormat="1" ht="73.5" customHeight="1">
      <c r="A248" s="37" t="s">
        <v>708</v>
      </c>
      <c r="B248" s="467">
        <v>1118</v>
      </c>
      <c r="C248" s="447" t="s">
        <v>56</v>
      </c>
      <c r="D248" s="447" t="s">
        <v>560</v>
      </c>
      <c r="E248" s="447" t="s">
        <v>57</v>
      </c>
      <c r="F248" s="447" t="s">
        <v>842</v>
      </c>
      <c r="G248" s="447" t="s">
        <v>840</v>
      </c>
      <c r="H248" s="447" t="s">
        <v>841</v>
      </c>
      <c r="I248" s="447" t="s">
        <v>1310</v>
      </c>
      <c r="J248" s="447" t="s">
        <v>68</v>
      </c>
      <c r="K248" s="447" t="s">
        <v>116</v>
      </c>
      <c r="L248" s="457" t="s">
        <v>40</v>
      </c>
      <c r="M248" s="161" t="s">
        <v>32</v>
      </c>
      <c r="N248" s="164">
        <v>15649.3</v>
      </c>
      <c r="O248" s="164">
        <v>15649.3</v>
      </c>
      <c r="P248" s="164">
        <f>14708.3+1000</f>
        <v>15708.3</v>
      </c>
      <c r="Q248" s="164">
        <v>0</v>
      </c>
      <c r="R248" s="164">
        <v>0</v>
      </c>
    </row>
    <row r="249" spans="1:18" s="115" customFormat="1" ht="60.75" customHeight="1">
      <c r="A249" s="37" t="s">
        <v>709</v>
      </c>
      <c r="B249" s="467">
        <v>1119</v>
      </c>
      <c r="C249" s="447" t="s">
        <v>56</v>
      </c>
      <c r="D249" s="447" t="s">
        <v>843</v>
      </c>
      <c r="E249" s="447" t="s">
        <v>57</v>
      </c>
      <c r="F249" s="447"/>
      <c r="G249" s="447"/>
      <c r="H249" s="447"/>
      <c r="I249" s="447" t="s">
        <v>1311</v>
      </c>
      <c r="J249" s="447" t="s">
        <v>68</v>
      </c>
      <c r="K249" s="447" t="s">
        <v>559</v>
      </c>
      <c r="L249" s="457" t="s">
        <v>40</v>
      </c>
      <c r="M249" s="457" t="s">
        <v>32</v>
      </c>
      <c r="N249" s="38">
        <f>5730.575+2104.6+4301.6+7250.9+3553.9+23641.7</f>
        <v>46583.275000000001</v>
      </c>
      <c r="O249" s="38">
        <f>5730.575+2104.6+4301.6+7250.9+3553.9+23641.7</f>
        <v>46583.275000000001</v>
      </c>
      <c r="P249" s="38">
        <f>7725.8+2192.4+4413.8+7815.6+3732.7+23650</f>
        <v>49530.3</v>
      </c>
      <c r="Q249" s="38">
        <v>0</v>
      </c>
      <c r="R249" s="169">
        <v>0</v>
      </c>
    </row>
    <row r="250" spans="1:18" s="115" customFormat="1" ht="60">
      <c r="A250" s="93"/>
      <c r="B250" s="473"/>
      <c r="C250" s="448"/>
      <c r="D250" s="448"/>
      <c r="E250" s="448"/>
      <c r="F250" s="448"/>
      <c r="G250" s="448"/>
      <c r="H250" s="448"/>
      <c r="I250" s="448" t="s">
        <v>148</v>
      </c>
      <c r="J250" s="448" t="s">
        <v>68</v>
      </c>
      <c r="K250" s="448" t="s">
        <v>559</v>
      </c>
      <c r="L250" s="458"/>
      <c r="M250" s="458"/>
      <c r="N250" s="94"/>
      <c r="O250" s="94"/>
      <c r="P250" s="94"/>
      <c r="Q250" s="94"/>
      <c r="R250" s="175"/>
    </row>
    <row r="251" spans="1:18" s="115" customFormat="1" ht="60" hidden="1">
      <c r="A251" s="37" t="s">
        <v>631</v>
      </c>
      <c r="B251" s="467">
        <v>1148</v>
      </c>
      <c r="C251" s="549" t="s">
        <v>56</v>
      </c>
      <c r="D251" s="549" t="s">
        <v>561</v>
      </c>
      <c r="E251" s="549" t="s">
        <v>57</v>
      </c>
      <c r="F251" s="549"/>
      <c r="G251" s="549"/>
      <c r="H251" s="549"/>
      <c r="I251" s="549" t="s">
        <v>136</v>
      </c>
      <c r="J251" s="549" t="s">
        <v>68</v>
      </c>
      <c r="K251" s="549" t="s">
        <v>116</v>
      </c>
      <c r="L251" s="457" t="s">
        <v>32</v>
      </c>
      <c r="M251" s="161" t="s">
        <v>33</v>
      </c>
      <c r="N251" s="164">
        <v>0</v>
      </c>
      <c r="O251" s="164">
        <v>0</v>
      </c>
      <c r="P251" s="164">
        <v>0</v>
      </c>
      <c r="Q251" s="164">
        <v>0</v>
      </c>
      <c r="R251" s="164">
        <v>0</v>
      </c>
    </row>
    <row r="252" spans="1:18" s="115" customFormat="1" ht="60" hidden="1">
      <c r="A252" s="37" t="s">
        <v>632</v>
      </c>
      <c r="B252" s="467">
        <v>1149</v>
      </c>
      <c r="C252" s="550"/>
      <c r="D252" s="550"/>
      <c r="E252" s="550"/>
      <c r="F252" s="550"/>
      <c r="G252" s="550"/>
      <c r="H252" s="550"/>
      <c r="I252" s="550"/>
      <c r="J252" s="550"/>
      <c r="K252" s="550"/>
      <c r="L252" s="457" t="s">
        <v>32</v>
      </c>
      <c r="M252" s="161" t="s">
        <v>33</v>
      </c>
      <c r="N252" s="164">
        <v>0</v>
      </c>
      <c r="O252" s="164">
        <v>0</v>
      </c>
      <c r="P252" s="164">
        <v>0</v>
      </c>
      <c r="Q252" s="164">
        <v>0</v>
      </c>
      <c r="R252" s="164">
        <v>0</v>
      </c>
    </row>
    <row r="253" spans="1:18" s="115" customFormat="1" ht="156" customHeight="1">
      <c r="A253" s="37" t="s">
        <v>551</v>
      </c>
      <c r="B253" s="467">
        <v>1200</v>
      </c>
      <c r="C253" s="467" t="s">
        <v>29</v>
      </c>
      <c r="D253" s="467" t="s">
        <v>29</v>
      </c>
      <c r="E253" s="467" t="s">
        <v>29</v>
      </c>
      <c r="F253" s="467" t="s">
        <v>29</v>
      </c>
      <c r="G253" s="467" t="s">
        <v>29</v>
      </c>
      <c r="H253" s="467" t="s">
        <v>29</v>
      </c>
      <c r="I253" s="467" t="s">
        <v>29</v>
      </c>
      <c r="J253" s="467" t="s">
        <v>29</v>
      </c>
      <c r="K253" s="467" t="s">
        <v>29</v>
      </c>
      <c r="L253" s="467"/>
      <c r="M253" s="511"/>
      <c r="N253" s="164">
        <f t="shared" ref="N253:O253" si="34">N254+N263+N270+N271+N273+N274+N280+N284+N285+N286+N297+N299</f>
        <v>132856.39000000001</v>
      </c>
      <c r="O253" s="164">
        <f t="shared" si="34"/>
        <v>130239.07900000001</v>
      </c>
      <c r="P253" s="164">
        <f>P254+P263+P270+P271+P273+P274+P280+P284+P285+P286+P297+P299</f>
        <v>140782.22300000003</v>
      </c>
      <c r="Q253" s="164">
        <f t="shared" ref="Q253:R253" si="35">Q254+Q263+Q270+Q271+Q273+Q274+Q280+Q284+Q285+Q286+Q297+Q299</f>
        <v>122678.894</v>
      </c>
      <c r="R253" s="164">
        <f t="shared" si="35"/>
        <v>124696.53399999999</v>
      </c>
    </row>
    <row r="254" spans="1:18" s="115" customFormat="1" ht="60">
      <c r="A254" s="37" t="s">
        <v>633</v>
      </c>
      <c r="B254" s="467">
        <v>1201</v>
      </c>
      <c r="C254" s="467"/>
      <c r="D254" s="467"/>
      <c r="E254" s="467"/>
      <c r="F254" s="467"/>
      <c r="G254" s="467"/>
      <c r="H254" s="467"/>
      <c r="I254" s="467"/>
      <c r="J254" s="467"/>
      <c r="K254" s="467"/>
      <c r="L254" s="467"/>
      <c r="M254" s="511"/>
      <c r="N254" s="164">
        <f t="shared" ref="N254:R254" si="36">SUM(N256:N262)</f>
        <v>39909.687000000005</v>
      </c>
      <c r="O254" s="164">
        <f t="shared" si="36"/>
        <v>37614.721999999994</v>
      </c>
      <c r="P254" s="164">
        <f t="shared" si="36"/>
        <v>40028.102999999996</v>
      </c>
      <c r="Q254" s="164">
        <f t="shared" si="36"/>
        <v>38773.184999999998</v>
      </c>
      <c r="R254" s="164">
        <f t="shared" si="36"/>
        <v>38773.224999999999</v>
      </c>
    </row>
    <row r="255" spans="1:18" s="115" customFormat="1" ht="12">
      <c r="A255" s="37" t="s">
        <v>97</v>
      </c>
      <c r="B255" s="467"/>
      <c r="C255" s="467"/>
      <c r="D255" s="467"/>
      <c r="E255" s="467"/>
      <c r="F255" s="467"/>
      <c r="G255" s="467"/>
      <c r="H255" s="467"/>
      <c r="I255" s="467"/>
      <c r="J255" s="467"/>
      <c r="K255" s="467"/>
      <c r="L255" s="467"/>
      <c r="M255" s="511"/>
      <c r="N255" s="164"/>
      <c r="O255" s="164"/>
      <c r="P255" s="164"/>
      <c r="Q255" s="164"/>
      <c r="R255" s="164"/>
    </row>
    <row r="256" spans="1:18" s="114" customFormat="1" ht="24" customHeight="1">
      <c r="A256" s="52"/>
      <c r="B256" s="447"/>
      <c r="C256" s="543" t="s">
        <v>61</v>
      </c>
      <c r="D256" s="543" t="s">
        <v>139</v>
      </c>
      <c r="E256" s="553" t="s">
        <v>62</v>
      </c>
      <c r="F256" s="543" t="s">
        <v>359</v>
      </c>
      <c r="G256" s="543" t="s">
        <v>140</v>
      </c>
      <c r="H256" s="543" t="s">
        <v>63</v>
      </c>
      <c r="I256" s="543" t="s">
        <v>141</v>
      </c>
      <c r="J256" s="543" t="s">
        <v>142</v>
      </c>
      <c r="K256" s="543" t="s">
        <v>143</v>
      </c>
      <c r="L256" s="46" t="s">
        <v>32</v>
      </c>
      <c r="M256" s="143" t="s">
        <v>36</v>
      </c>
      <c r="N256" s="63">
        <v>629.99400000000003</v>
      </c>
      <c r="O256" s="63">
        <v>532.61199999999997</v>
      </c>
      <c r="P256" s="63">
        <v>571.79999999999995</v>
      </c>
      <c r="Q256" s="63">
        <v>548.20000000000005</v>
      </c>
      <c r="R256" s="63">
        <v>548.20000000000005</v>
      </c>
    </row>
    <row r="257" spans="1:18" s="114" customFormat="1" ht="24" customHeight="1">
      <c r="A257" s="45"/>
      <c r="B257" s="459"/>
      <c r="C257" s="551"/>
      <c r="D257" s="551"/>
      <c r="E257" s="554"/>
      <c r="F257" s="551"/>
      <c r="G257" s="551"/>
      <c r="H257" s="551"/>
      <c r="I257" s="551"/>
      <c r="J257" s="551"/>
      <c r="K257" s="551"/>
      <c r="L257" s="464" t="s">
        <v>32</v>
      </c>
      <c r="M257" s="144" t="s">
        <v>41</v>
      </c>
      <c r="N257" s="47">
        <f>891.138+419.607</f>
        <v>1310.7450000000001</v>
      </c>
      <c r="O257" s="47">
        <f>880.704+415.708</f>
        <v>1296.412</v>
      </c>
      <c r="P257" s="47">
        <f>628.5+450.655</f>
        <v>1079.155</v>
      </c>
      <c r="Q257" s="47">
        <v>1061.1600000000001</v>
      </c>
      <c r="R257" s="47">
        <v>1061.2</v>
      </c>
    </row>
    <row r="258" spans="1:18" s="114" customFormat="1" ht="60" customHeight="1">
      <c r="A258" s="45"/>
      <c r="B258" s="459"/>
      <c r="C258" s="452" t="s">
        <v>56</v>
      </c>
      <c r="D258" s="452" t="s">
        <v>792</v>
      </c>
      <c r="E258" s="455" t="s">
        <v>145</v>
      </c>
      <c r="F258" s="452"/>
      <c r="G258" s="452"/>
      <c r="H258" s="452"/>
      <c r="I258" s="452" t="s">
        <v>793</v>
      </c>
      <c r="J258" s="452" t="s">
        <v>794</v>
      </c>
      <c r="K258" s="452" t="s">
        <v>60</v>
      </c>
      <c r="L258" s="464" t="s">
        <v>32</v>
      </c>
      <c r="M258" s="144" t="s">
        <v>37</v>
      </c>
      <c r="N258" s="47">
        <f>102.012+131.35+22431.935+94</f>
        <v>22759.297000000002</v>
      </c>
      <c r="O258" s="47">
        <f>102.012+116.918+20583.562+94</f>
        <v>20896.492000000002</v>
      </c>
      <c r="P258" s="47">
        <f>90+23097.739+286.6</f>
        <v>23474.339</v>
      </c>
      <c r="Q258" s="47">
        <f t="shared" ref="Q258:R258" si="37">151.3+22489.439</f>
        <v>22640.738999999998</v>
      </c>
      <c r="R258" s="47">
        <f t="shared" si="37"/>
        <v>22640.738999999998</v>
      </c>
    </row>
    <row r="259" spans="1:18" s="114" customFormat="1" ht="109.5" customHeight="1">
      <c r="A259" s="45"/>
      <c r="B259" s="459"/>
      <c r="C259" s="452" t="s">
        <v>774</v>
      </c>
      <c r="D259" s="452" t="s">
        <v>775</v>
      </c>
      <c r="E259" s="455" t="s">
        <v>776</v>
      </c>
      <c r="F259" s="452"/>
      <c r="G259" s="452"/>
      <c r="H259" s="452"/>
      <c r="I259" s="452" t="s">
        <v>1312</v>
      </c>
      <c r="J259" s="452" t="s">
        <v>68</v>
      </c>
      <c r="K259" s="452" t="s">
        <v>1106</v>
      </c>
      <c r="L259" s="519" t="s">
        <v>32</v>
      </c>
      <c r="M259" s="154" t="s">
        <v>33</v>
      </c>
      <c r="N259" s="47">
        <f>41.885+5788.106+20.752+135.585+333.2</f>
        <v>6319.5280000000002</v>
      </c>
      <c r="O259" s="47">
        <f>41.885+5608.202+20.752+135.585+333.165</f>
        <v>6139.5890000000009</v>
      </c>
      <c r="P259" s="47">
        <f>5755.918+256.491</f>
        <v>6012.4089999999997</v>
      </c>
      <c r="Q259" s="47">
        <f t="shared" ref="Q259:R259" si="38">5594.195+60+245.891</f>
        <v>5900.0859999999993</v>
      </c>
      <c r="R259" s="47">
        <f t="shared" si="38"/>
        <v>5900.0859999999993</v>
      </c>
    </row>
    <row r="260" spans="1:18" s="114" customFormat="1" ht="84">
      <c r="A260" s="45"/>
      <c r="B260" s="459"/>
      <c r="C260" s="453" t="s">
        <v>813</v>
      </c>
      <c r="D260" s="453" t="s">
        <v>814</v>
      </c>
      <c r="E260" s="521" t="s">
        <v>227</v>
      </c>
      <c r="F260" s="453"/>
      <c r="G260" s="453"/>
      <c r="H260" s="453"/>
      <c r="I260" s="453" t="s">
        <v>486</v>
      </c>
      <c r="J260" s="453" t="s">
        <v>146</v>
      </c>
      <c r="K260" s="453" t="s">
        <v>147</v>
      </c>
      <c r="L260" s="459" t="s">
        <v>43</v>
      </c>
      <c r="M260" s="459" t="s">
        <v>38</v>
      </c>
      <c r="N260" s="53">
        <f>39.228+5524.222</f>
        <v>5563.45</v>
      </c>
      <c r="O260" s="53">
        <f>39.228+5475.042</f>
        <v>5514.27</v>
      </c>
      <c r="P260" s="53">
        <v>5620.7</v>
      </c>
      <c r="Q260" s="53">
        <f t="shared" ref="Q260:R260" si="39">5440.4</f>
        <v>5440.4</v>
      </c>
      <c r="R260" s="53">
        <f t="shared" si="39"/>
        <v>5440.4</v>
      </c>
    </row>
    <row r="261" spans="1:18" s="114" customFormat="1" ht="72">
      <c r="A261" s="45"/>
      <c r="B261" s="459"/>
      <c r="C261" s="453"/>
      <c r="D261" s="453"/>
      <c r="E261" s="453"/>
      <c r="F261" s="453"/>
      <c r="G261" s="453"/>
      <c r="H261" s="453"/>
      <c r="I261" s="453" t="s">
        <v>1313</v>
      </c>
      <c r="J261" s="521" t="s">
        <v>68</v>
      </c>
      <c r="K261" s="9" t="s">
        <v>116</v>
      </c>
      <c r="L261" s="459" t="s">
        <v>40</v>
      </c>
      <c r="M261" s="459" t="s">
        <v>37</v>
      </c>
      <c r="N261" s="53">
        <f>23.482+3298.603</f>
        <v>3322.085</v>
      </c>
      <c r="O261" s="53">
        <f>23.482+3207.36</f>
        <v>3230.8420000000001</v>
      </c>
      <c r="P261" s="53">
        <f>3217.8+50.2</f>
        <v>3268</v>
      </c>
      <c r="Q261" s="53">
        <f t="shared" ref="Q261:R261" si="40">3132.4+50.2</f>
        <v>3182.6</v>
      </c>
      <c r="R261" s="53">
        <f t="shared" si="40"/>
        <v>3182.6</v>
      </c>
    </row>
    <row r="262" spans="1:18" s="114" customFormat="1" ht="12">
      <c r="A262" s="48"/>
      <c r="B262" s="448"/>
      <c r="C262" s="478"/>
      <c r="D262" s="478"/>
      <c r="E262" s="478"/>
      <c r="F262" s="478"/>
      <c r="G262" s="478"/>
      <c r="H262" s="478"/>
      <c r="I262" s="478"/>
      <c r="J262" s="522"/>
      <c r="K262" s="201"/>
      <c r="L262" s="448">
        <v>10</v>
      </c>
      <c r="M262" s="459" t="s">
        <v>37</v>
      </c>
      <c r="N262" s="58">
        <v>4.5880000000000001</v>
      </c>
      <c r="O262" s="58">
        <v>4.5049999999999999</v>
      </c>
      <c r="P262" s="58">
        <v>1.7</v>
      </c>
      <c r="Q262" s="58">
        <v>0</v>
      </c>
      <c r="R262" s="58">
        <v>0</v>
      </c>
    </row>
    <row r="263" spans="1:18" s="115" customFormat="1" ht="60">
      <c r="A263" s="39" t="s">
        <v>634</v>
      </c>
      <c r="B263" s="40">
        <v>1202</v>
      </c>
      <c r="C263" s="253"/>
      <c r="D263" s="253"/>
      <c r="E263" s="253"/>
      <c r="F263" s="253"/>
      <c r="G263" s="253"/>
      <c r="H263" s="253"/>
      <c r="I263" s="253"/>
      <c r="J263" s="254"/>
      <c r="K263" s="255"/>
      <c r="L263" s="40"/>
      <c r="M263" s="467"/>
      <c r="N263" s="38">
        <f>SUM(N264:N269)</f>
        <v>69932.971999999994</v>
      </c>
      <c r="O263" s="38">
        <f>SUM(O264:O269)</f>
        <v>69713.676000000007</v>
      </c>
      <c r="P263" s="38">
        <f>SUM(P264:P269)</f>
        <v>67547.285999999993</v>
      </c>
      <c r="Q263" s="38">
        <f t="shared" ref="Q263:R263" si="41">SUM(Q264:Q269)</f>
        <v>64846.308999999994</v>
      </c>
      <c r="R263" s="38">
        <f t="shared" si="41"/>
        <v>64846.308999999994</v>
      </c>
    </row>
    <row r="264" spans="1:18" s="114" customFormat="1" ht="144">
      <c r="A264" s="52"/>
      <c r="B264" s="447"/>
      <c r="C264" s="477" t="s">
        <v>61</v>
      </c>
      <c r="D264" s="477" t="s">
        <v>139</v>
      </c>
      <c r="E264" s="516" t="s">
        <v>62</v>
      </c>
      <c r="F264" s="477" t="s">
        <v>359</v>
      </c>
      <c r="G264" s="477" t="s">
        <v>140</v>
      </c>
      <c r="H264" s="477" t="s">
        <v>63</v>
      </c>
      <c r="I264" s="477" t="s">
        <v>1314</v>
      </c>
      <c r="J264" s="477" t="s">
        <v>68</v>
      </c>
      <c r="K264" s="477" t="s">
        <v>529</v>
      </c>
      <c r="L264" s="156" t="s">
        <v>32</v>
      </c>
      <c r="M264" s="100" t="s">
        <v>36</v>
      </c>
      <c r="N264" s="105">
        <f>2419.299</f>
        <v>2419.299</v>
      </c>
      <c r="O264" s="105">
        <v>2419.2530000000002</v>
      </c>
      <c r="P264" s="105">
        <v>1900.3</v>
      </c>
      <c r="Q264" s="105">
        <v>1822</v>
      </c>
      <c r="R264" s="105">
        <v>1822</v>
      </c>
    </row>
    <row r="265" spans="1:18" s="114" customFormat="1" ht="72">
      <c r="A265" s="45"/>
      <c r="B265" s="459"/>
      <c r="C265" s="453" t="s">
        <v>56</v>
      </c>
      <c r="D265" s="453" t="s">
        <v>144</v>
      </c>
      <c r="E265" s="503" t="s">
        <v>145</v>
      </c>
      <c r="F265" s="181"/>
      <c r="G265" s="181"/>
      <c r="H265" s="181"/>
      <c r="I265" s="476" t="s">
        <v>67</v>
      </c>
      <c r="J265" s="453" t="s">
        <v>68</v>
      </c>
      <c r="K265" s="453" t="s">
        <v>66</v>
      </c>
      <c r="L265" s="156" t="s">
        <v>32</v>
      </c>
      <c r="M265" s="100" t="s">
        <v>41</v>
      </c>
      <c r="N265" s="105">
        <v>1609.4449999999999</v>
      </c>
      <c r="O265" s="105">
        <v>1609.4449999999999</v>
      </c>
      <c r="P265" s="105">
        <v>1453.2449999999999</v>
      </c>
      <c r="Q265" s="105">
        <v>1393.2449999999999</v>
      </c>
      <c r="R265" s="105">
        <v>1393.2449999999999</v>
      </c>
    </row>
    <row r="266" spans="1:18" s="114" customFormat="1" ht="108">
      <c r="A266" s="45"/>
      <c r="B266" s="459"/>
      <c r="C266" s="453" t="s">
        <v>774</v>
      </c>
      <c r="D266" s="453" t="s">
        <v>775</v>
      </c>
      <c r="E266" s="503" t="s">
        <v>776</v>
      </c>
      <c r="F266" s="453"/>
      <c r="G266" s="453"/>
      <c r="H266" s="453"/>
      <c r="I266" s="476" t="s">
        <v>141</v>
      </c>
      <c r="J266" s="453" t="s">
        <v>142</v>
      </c>
      <c r="K266" s="453" t="s">
        <v>143</v>
      </c>
      <c r="L266" s="156" t="s">
        <v>32</v>
      </c>
      <c r="M266" s="100" t="s">
        <v>37</v>
      </c>
      <c r="N266" s="105">
        <f>485+30530.875</f>
        <v>31015.875</v>
      </c>
      <c r="O266" s="105">
        <f>485+30326.906</f>
        <v>30811.905999999999</v>
      </c>
      <c r="P266" s="105">
        <v>29183.35</v>
      </c>
      <c r="Q266" s="105">
        <v>28048.35</v>
      </c>
      <c r="R266" s="105">
        <v>28048.35</v>
      </c>
    </row>
    <row r="267" spans="1:18" s="114" customFormat="1" ht="96" customHeight="1">
      <c r="A267" s="45"/>
      <c r="B267" s="459"/>
      <c r="C267" s="453" t="s">
        <v>361</v>
      </c>
      <c r="D267" s="453" t="s">
        <v>795</v>
      </c>
      <c r="E267" s="453" t="s">
        <v>64</v>
      </c>
      <c r="F267" s="453" t="s">
        <v>780</v>
      </c>
      <c r="G267" s="453" t="s">
        <v>796</v>
      </c>
      <c r="H267" s="453" t="s">
        <v>65</v>
      </c>
      <c r="I267" s="466" t="s">
        <v>1105</v>
      </c>
      <c r="J267" s="279" t="s">
        <v>68</v>
      </c>
      <c r="K267" s="16" t="s">
        <v>1106</v>
      </c>
      <c r="L267" s="156" t="s">
        <v>32</v>
      </c>
      <c r="M267" s="100" t="s">
        <v>33</v>
      </c>
      <c r="N267" s="105">
        <f>158+14020.935+1107.247</f>
        <v>15286.181999999999</v>
      </c>
      <c r="O267" s="105">
        <f>158+14005.834+1107.067</f>
        <v>15270.901000000002</v>
      </c>
      <c r="P267" s="105">
        <f>14566.782+849.209</f>
        <v>15415.991</v>
      </c>
      <c r="Q267" s="105">
        <f t="shared" ref="Q267:R267" si="42">13964.005+814.209</f>
        <v>14778.214</v>
      </c>
      <c r="R267" s="105">
        <f t="shared" si="42"/>
        <v>14778.214</v>
      </c>
    </row>
    <row r="268" spans="1:18" s="114" customFormat="1" ht="84">
      <c r="A268" s="45"/>
      <c r="B268" s="459"/>
      <c r="C268" s="452" t="s">
        <v>813</v>
      </c>
      <c r="D268" s="452" t="s">
        <v>814</v>
      </c>
      <c r="E268" s="449" t="s">
        <v>227</v>
      </c>
      <c r="F268" s="453"/>
      <c r="G268" s="453"/>
      <c r="H268" s="453"/>
      <c r="I268" s="452" t="s">
        <v>1315</v>
      </c>
      <c r="J268" s="452" t="s">
        <v>146</v>
      </c>
      <c r="K268" s="452" t="s">
        <v>147</v>
      </c>
      <c r="L268" s="156" t="s">
        <v>43</v>
      </c>
      <c r="M268" s="100" t="s">
        <v>38</v>
      </c>
      <c r="N268" s="105">
        <f>155+12518.167</f>
        <v>12673.166999999999</v>
      </c>
      <c r="O268" s="105">
        <f>155+12518.167</f>
        <v>12673.166999999999</v>
      </c>
      <c r="P268" s="105">
        <v>12430</v>
      </c>
      <c r="Q268" s="105">
        <v>11923.6</v>
      </c>
      <c r="R268" s="105">
        <v>11923.6</v>
      </c>
    </row>
    <row r="269" spans="1:18" s="114" customFormat="1" ht="12">
      <c r="A269" s="48"/>
      <c r="B269" s="448"/>
      <c r="C269" s="478"/>
      <c r="D269" s="478"/>
      <c r="E269" s="478"/>
      <c r="F269" s="478"/>
      <c r="G269" s="478"/>
      <c r="H269" s="478"/>
      <c r="I269" s="453"/>
      <c r="J269" s="521"/>
      <c r="K269" s="9"/>
      <c r="L269" s="156" t="s">
        <v>40</v>
      </c>
      <c r="M269" s="100" t="s">
        <v>37</v>
      </c>
      <c r="N269" s="105">
        <f>88+6841.004</f>
        <v>6929.0039999999999</v>
      </c>
      <c r="O269" s="105">
        <f>88+6841.004</f>
        <v>6929.0039999999999</v>
      </c>
      <c r="P269" s="105">
        <v>7164.4</v>
      </c>
      <c r="Q269" s="105">
        <v>6880.9</v>
      </c>
      <c r="R269" s="105">
        <v>6880.9</v>
      </c>
    </row>
    <row r="270" spans="1:18" s="115" customFormat="1" ht="72" hidden="1">
      <c r="A270" s="37" t="s">
        <v>635</v>
      </c>
      <c r="B270" s="467">
        <v>1203</v>
      </c>
      <c r="C270" s="256"/>
      <c r="D270" s="256"/>
      <c r="E270" s="256"/>
      <c r="F270" s="256"/>
      <c r="G270" s="256"/>
      <c r="H270" s="256"/>
      <c r="I270" s="256"/>
      <c r="J270" s="257"/>
      <c r="K270" s="258"/>
      <c r="L270" s="493"/>
      <c r="M270" s="493"/>
      <c r="N270" s="98"/>
      <c r="O270" s="98"/>
      <c r="P270" s="98"/>
      <c r="Q270" s="98"/>
      <c r="R270" s="98"/>
    </row>
    <row r="271" spans="1:18" s="115" customFormat="1" ht="59.25" customHeight="1">
      <c r="A271" s="566" t="s">
        <v>636</v>
      </c>
      <c r="B271" s="572">
        <v>1204</v>
      </c>
      <c r="C271" s="477" t="s">
        <v>56</v>
      </c>
      <c r="D271" s="477" t="s">
        <v>365</v>
      </c>
      <c r="E271" s="516" t="s">
        <v>145</v>
      </c>
      <c r="F271" s="37" t="s">
        <v>31</v>
      </c>
      <c r="G271" s="37" t="s">
        <v>31</v>
      </c>
      <c r="H271" s="37" t="s">
        <v>31</v>
      </c>
      <c r="I271" s="447" t="s">
        <v>369</v>
      </c>
      <c r="J271" s="52" t="s">
        <v>68</v>
      </c>
      <c r="K271" s="225" t="s">
        <v>370</v>
      </c>
      <c r="L271" s="495" t="s">
        <v>26</v>
      </c>
      <c r="M271" s="512" t="s">
        <v>32</v>
      </c>
      <c r="N271" s="77">
        <v>653</v>
      </c>
      <c r="O271" s="77">
        <v>651.26199999999994</v>
      </c>
      <c r="P271" s="77">
        <v>381.9</v>
      </c>
      <c r="Q271" s="77">
        <v>70.099999999999994</v>
      </c>
      <c r="R271" s="77">
        <v>0</v>
      </c>
    </row>
    <row r="272" spans="1:18" s="115" customFormat="1" ht="48" customHeight="1">
      <c r="A272" s="567"/>
      <c r="B272" s="574"/>
      <c r="C272" s="478"/>
      <c r="D272" s="478"/>
      <c r="E272" s="517"/>
      <c r="F272" s="93"/>
      <c r="G272" s="93"/>
      <c r="H272" s="93"/>
      <c r="I272" s="448" t="s">
        <v>371</v>
      </c>
      <c r="J272" s="48" t="s">
        <v>68</v>
      </c>
      <c r="K272" s="448" t="s">
        <v>372</v>
      </c>
      <c r="L272" s="473"/>
      <c r="M272" s="162"/>
      <c r="N272" s="67"/>
      <c r="O272" s="67"/>
      <c r="P272" s="67"/>
      <c r="Q272" s="67"/>
      <c r="R272" s="68"/>
    </row>
    <row r="273" spans="1:18" s="115" customFormat="1" ht="72" customHeight="1">
      <c r="A273" s="37" t="s">
        <v>637</v>
      </c>
      <c r="B273" s="467">
        <v>1206</v>
      </c>
      <c r="C273" s="24" t="s">
        <v>56</v>
      </c>
      <c r="D273" s="24" t="s">
        <v>364</v>
      </c>
      <c r="E273" s="24" t="s">
        <v>57</v>
      </c>
      <c r="F273" s="24"/>
      <c r="G273" s="24"/>
      <c r="H273" s="24"/>
      <c r="I273" s="24" t="s">
        <v>530</v>
      </c>
      <c r="J273" s="24" t="s">
        <v>68</v>
      </c>
      <c r="K273" s="302" t="s">
        <v>60</v>
      </c>
      <c r="L273" s="259" t="s">
        <v>32</v>
      </c>
      <c r="M273" s="260" t="s">
        <v>37</v>
      </c>
      <c r="N273" s="384">
        <v>910</v>
      </c>
      <c r="O273" s="384">
        <v>910</v>
      </c>
      <c r="P273" s="384">
        <v>910</v>
      </c>
      <c r="Q273" s="384">
        <v>910</v>
      </c>
      <c r="R273" s="384">
        <v>910</v>
      </c>
    </row>
    <row r="274" spans="1:18" s="115" customFormat="1" ht="108" customHeight="1">
      <c r="A274" s="37" t="s">
        <v>638</v>
      </c>
      <c r="B274" s="467">
        <v>1208</v>
      </c>
      <c r="C274" s="37" t="s">
        <v>31</v>
      </c>
      <c r="D274" s="37" t="s">
        <v>31</v>
      </c>
      <c r="E274" s="37" t="s">
        <v>31</v>
      </c>
      <c r="F274" s="37" t="s">
        <v>31</v>
      </c>
      <c r="G274" s="37" t="s">
        <v>31</v>
      </c>
      <c r="H274" s="37" t="s">
        <v>31</v>
      </c>
      <c r="I274" s="37" t="s">
        <v>31</v>
      </c>
      <c r="J274" s="37" t="s">
        <v>31</v>
      </c>
      <c r="K274" s="37" t="s">
        <v>31</v>
      </c>
      <c r="L274" s="467" t="s">
        <v>32</v>
      </c>
      <c r="M274" s="511" t="s">
        <v>26</v>
      </c>
      <c r="N274" s="164">
        <f>SUM(N276:N279)</f>
        <v>12139.721</v>
      </c>
      <c r="O274" s="164">
        <f>SUM(O276:O279)</f>
        <v>12073.674999999999</v>
      </c>
      <c r="P274" s="164">
        <f>SUM(P276:P279)</f>
        <v>11997.8</v>
      </c>
      <c r="Q274" s="164">
        <f t="shared" ref="Q274:R274" si="43">SUM(Q276:Q279)</f>
        <v>11695.6</v>
      </c>
      <c r="R274" s="164">
        <f t="shared" si="43"/>
        <v>11695.6</v>
      </c>
    </row>
    <row r="275" spans="1:18" s="114" customFormat="1" ht="12">
      <c r="A275" s="52" t="s">
        <v>97</v>
      </c>
      <c r="B275" s="447"/>
      <c r="C275" s="52"/>
      <c r="D275" s="52"/>
      <c r="E275" s="52"/>
      <c r="F275" s="52"/>
      <c r="G275" s="52"/>
      <c r="H275" s="52"/>
      <c r="I275" s="52"/>
      <c r="J275" s="52"/>
      <c r="K275" s="52"/>
      <c r="L275" s="447"/>
      <c r="M275" s="506"/>
      <c r="N275" s="63"/>
      <c r="O275" s="63"/>
      <c r="P275" s="63"/>
      <c r="Q275" s="63"/>
      <c r="R275" s="63"/>
    </row>
    <row r="276" spans="1:18" s="114" customFormat="1" ht="50.25" customHeight="1">
      <c r="A276" s="52"/>
      <c r="B276" s="447"/>
      <c r="C276" s="303" t="s">
        <v>56</v>
      </c>
      <c r="D276" s="303" t="s">
        <v>149</v>
      </c>
      <c r="E276" s="465" t="s">
        <v>57</v>
      </c>
      <c r="F276" s="442"/>
      <c r="G276" s="442"/>
      <c r="H276" s="442"/>
      <c r="I276" s="442" t="s">
        <v>150</v>
      </c>
      <c r="J276" s="442" t="s">
        <v>151</v>
      </c>
      <c r="K276" s="442" t="s">
        <v>152</v>
      </c>
      <c r="L276" s="46"/>
      <c r="M276" s="143"/>
      <c r="N276" s="63">
        <f>2769+9370.721</f>
        <v>12139.721</v>
      </c>
      <c r="O276" s="63">
        <f>2702.954+9370.721</f>
        <v>12073.674999999999</v>
      </c>
      <c r="P276" s="63">
        <f>2845.5+9152.3</f>
        <v>11997.8</v>
      </c>
      <c r="Q276" s="63">
        <f t="shared" ref="Q276:R276" si="44">2820.9+8854.7+20</f>
        <v>11695.6</v>
      </c>
      <c r="R276" s="63">
        <f t="shared" si="44"/>
        <v>11695.6</v>
      </c>
    </row>
    <row r="277" spans="1:18" s="114" customFormat="1" ht="94.5" customHeight="1">
      <c r="A277" s="45"/>
      <c r="B277" s="459"/>
      <c r="C277" s="453" t="s">
        <v>361</v>
      </c>
      <c r="D277" s="453" t="s">
        <v>112</v>
      </c>
      <c r="E277" s="466" t="s">
        <v>64</v>
      </c>
      <c r="F277" s="452" t="s">
        <v>360</v>
      </c>
      <c r="G277" s="452" t="s">
        <v>791</v>
      </c>
      <c r="H277" s="452" t="s">
        <v>65</v>
      </c>
      <c r="I277" s="23"/>
      <c r="J277" s="23"/>
      <c r="K277" s="23"/>
      <c r="L277" s="464"/>
      <c r="M277" s="144"/>
      <c r="N277" s="47"/>
      <c r="O277" s="47"/>
      <c r="P277" s="47"/>
      <c r="Q277" s="47"/>
      <c r="R277" s="47"/>
    </row>
    <row r="278" spans="1:18" s="114" customFormat="1" ht="66" customHeight="1">
      <c r="A278" s="45"/>
      <c r="B278" s="459"/>
      <c r="C278" s="552" t="s">
        <v>153</v>
      </c>
      <c r="D278" s="552" t="s">
        <v>154</v>
      </c>
      <c r="E278" s="632" t="s">
        <v>155</v>
      </c>
      <c r="F278" s="552" t="s">
        <v>156</v>
      </c>
      <c r="G278" s="453" t="s">
        <v>157</v>
      </c>
      <c r="H278" s="453" t="s">
        <v>158</v>
      </c>
      <c r="I278" s="453" t="s">
        <v>159</v>
      </c>
      <c r="J278" s="453" t="s">
        <v>68</v>
      </c>
      <c r="K278" s="453" t="s">
        <v>160</v>
      </c>
      <c r="L278" s="459"/>
      <c r="M278" s="507"/>
      <c r="N278" s="47"/>
      <c r="O278" s="47"/>
      <c r="P278" s="47"/>
      <c r="Q278" s="47"/>
      <c r="R278" s="47"/>
    </row>
    <row r="279" spans="1:18" s="114" customFormat="1" ht="66" customHeight="1">
      <c r="A279" s="45"/>
      <c r="B279" s="459"/>
      <c r="C279" s="552"/>
      <c r="D279" s="552"/>
      <c r="E279" s="632"/>
      <c r="F279" s="552"/>
      <c r="G279" s="453"/>
      <c r="H279" s="453"/>
      <c r="I279" s="453"/>
      <c r="J279" s="453"/>
      <c r="K279" s="453"/>
      <c r="L279" s="459"/>
      <c r="M279" s="507"/>
      <c r="N279" s="47"/>
      <c r="O279" s="47"/>
      <c r="P279" s="47"/>
      <c r="Q279" s="47"/>
      <c r="R279" s="47"/>
    </row>
    <row r="280" spans="1:18" s="115" customFormat="1" ht="84" customHeight="1">
      <c r="A280" s="566" t="s">
        <v>639</v>
      </c>
      <c r="B280" s="261">
        <v>1213</v>
      </c>
      <c r="C280" s="486" t="s">
        <v>362</v>
      </c>
      <c r="D280" s="486" t="s">
        <v>161</v>
      </c>
      <c r="E280" s="486" t="s">
        <v>162</v>
      </c>
      <c r="F280" s="486" t="s">
        <v>363</v>
      </c>
      <c r="G280" s="486" t="s">
        <v>163</v>
      </c>
      <c r="H280" s="486" t="s">
        <v>164</v>
      </c>
      <c r="I280" s="486" t="s">
        <v>165</v>
      </c>
      <c r="J280" s="486" t="s">
        <v>151</v>
      </c>
      <c r="K280" s="486" t="s">
        <v>63</v>
      </c>
      <c r="L280" s="65" t="s">
        <v>32</v>
      </c>
      <c r="M280" s="160" t="s">
        <v>43</v>
      </c>
      <c r="N280" s="164">
        <v>0</v>
      </c>
      <c r="O280" s="164">
        <v>0</v>
      </c>
      <c r="P280" s="164">
        <v>2804.1</v>
      </c>
      <c r="Q280" s="164">
        <v>0</v>
      </c>
      <c r="R280" s="164">
        <v>0</v>
      </c>
    </row>
    <row r="281" spans="1:18" s="115" customFormat="1" ht="96">
      <c r="A281" s="580"/>
      <c r="B281" s="286"/>
      <c r="C281" s="487" t="s">
        <v>166</v>
      </c>
      <c r="D281" s="487" t="s">
        <v>167</v>
      </c>
      <c r="E281" s="487" t="s">
        <v>168</v>
      </c>
      <c r="F281" s="487" t="s">
        <v>169</v>
      </c>
      <c r="G281" s="487" t="s">
        <v>170</v>
      </c>
      <c r="H281" s="487" t="s">
        <v>171</v>
      </c>
      <c r="I281" s="280"/>
      <c r="J281" s="280"/>
      <c r="K281" s="280"/>
      <c r="L281" s="485"/>
      <c r="M281" s="151"/>
      <c r="N281" s="77"/>
      <c r="O281" s="77"/>
      <c r="P281" s="77"/>
      <c r="Q281" s="77"/>
      <c r="R281" s="77"/>
    </row>
    <row r="282" spans="1:18" s="115" customFormat="1" ht="60">
      <c r="A282" s="580"/>
      <c r="B282" s="286"/>
      <c r="C282" s="487" t="s">
        <v>56</v>
      </c>
      <c r="D282" s="487" t="s">
        <v>172</v>
      </c>
      <c r="E282" s="487" t="s">
        <v>57</v>
      </c>
      <c r="F282" s="487" t="s">
        <v>173</v>
      </c>
      <c r="G282" s="487" t="s">
        <v>174</v>
      </c>
      <c r="H282" s="487" t="s">
        <v>175</v>
      </c>
      <c r="I282" s="280"/>
      <c r="J282" s="280"/>
      <c r="K282" s="280"/>
      <c r="L282" s="485"/>
      <c r="M282" s="151"/>
      <c r="N282" s="77"/>
      <c r="O282" s="77"/>
      <c r="P282" s="77"/>
      <c r="Q282" s="77"/>
      <c r="R282" s="77"/>
    </row>
    <row r="283" spans="1:18" s="115" customFormat="1" ht="72">
      <c r="A283" s="567"/>
      <c r="B283" s="287"/>
      <c r="C283" s="304" t="s">
        <v>176</v>
      </c>
      <c r="D283" s="304" t="s">
        <v>177</v>
      </c>
      <c r="E283" s="304" t="s">
        <v>178</v>
      </c>
      <c r="F283" s="180"/>
      <c r="G283" s="180"/>
      <c r="H283" s="180"/>
      <c r="I283" s="281"/>
      <c r="J283" s="281"/>
      <c r="K283" s="281"/>
      <c r="L283" s="66"/>
      <c r="M283" s="152"/>
      <c r="N283" s="67"/>
      <c r="O283" s="67"/>
      <c r="P283" s="67"/>
      <c r="Q283" s="67"/>
      <c r="R283" s="67"/>
    </row>
    <row r="284" spans="1:18" s="115" customFormat="1" ht="61.5" customHeight="1">
      <c r="A284" s="566" t="s">
        <v>1087</v>
      </c>
      <c r="B284" s="467">
        <v>1219</v>
      </c>
      <c r="C284" s="477" t="s">
        <v>56</v>
      </c>
      <c r="D284" s="477" t="s">
        <v>179</v>
      </c>
      <c r="E284" s="516" t="s">
        <v>145</v>
      </c>
      <c r="F284" s="477" t="s">
        <v>58</v>
      </c>
      <c r="G284" s="477" t="s">
        <v>59</v>
      </c>
      <c r="H284" s="477" t="s">
        <v>60</v>
      </c>
      <c r="I284" s="477" t="s">
        <v>180</v>
      </c>
      <c r="J284" s="477" t="s">
        <v>181</v>
      </c>
      <c r="K284" s="477" t="s">
        <v>60</v>
      </c>
      <c r="L284" s="457" t="s">
        <v>43</v>
      </c>
      <c r="M284" s="161" t="s">
        <v>35</v>
      </c>
      <c r="N284" s="164">
        <v>895.06500000000005</v>
      </c>
      <c r="O284" s="164">
        <v>895.06500000000005</v>
      </c>
      <c r="P284" s="164">
        <f>6231.6-5912</f>
        <v>319.60000000000036</v>
      </c>
      <c r="Q284" s="164">
        <v>0</v>
      </c>
      <c r="R284" s="164">
        <v>0</v>
      </c>
    </row>
    <row r="285" spans="1:18" s="115" customFormat="1" ht="61.5" customHeight="1">
      <c r="A285" s="567"/>
      <c r="B285" s="458" t="s">
        <v>976</v>
      </c>
      <c r="C285" s="478"/>
      <c r="D285" s="478"/>
      <c r="E285" s="517"/>
      <c r="F285" s="478"/>
      <c r="G285" s="478"/>
      <c r="H285" s="478"/>
      <c r="I285" s="478" t="s">
        <v>1270</v>
      </c>
      <c r="J285" s="478"/>
      <c r="K285" s="478"/>
      <c r="L285" s="457" t="s">
        <v>43</v>
      </c>
      <c r="M285" s="161" t="s">
        <v>35</v>
      </c>
      <c r="N285" s="164">
        <v>0</v>
      </c>
      <c r="O285" s="164">
        <v>0</v>
      </c>
      <c r="P285" s="164">
        <v>5912</v>
      </c>
      <c r="Q285" s="164">
        <v>5241.7</v>
      </c>
      <c r="R285" s="164">
        <v>6829.4</v>
      </c>
    </row>
    <row r="286" spans="1:18" s="115" customFormat="1" ht="21" customHeight="1">
      <c r="A286" s="566" t="s">
        <v>640</v>
      </c>
      <c r="B286" s="572">
        <v>1221</v>
      </c>
      <c r="C286" s="559" t="s">
        <v>777</v>
      </c>
      <c r="D286" s="559" t="s">
        <v>778</v>
      </c>
      <c r="E286" s="657" t="s">
        <v>779</v>
      </c>
      <c r="F286" s="559" t="s">
        <v>780</v>
      </c>
      <c r="G286" s="559" t="s">
        <v>781</v>
      </c>
      <c r="H286" s="657" t="s">
        <v>65</v>
      </c>
      <c r="I286" s="559" t="s">
        <v>589</v>
      </c>
      <c r="J286" s="559" t="s">
        <v>68</v>
      </c>
      <c r="K286" s="559" t="s">
        <v>69</v>
      </c>
      <c r="L286" s="176"/>
      <c r="M286" s="176"/>
      <c r="N286" s="242">
        <f>SUM(N287:N296)</f>
        <v>8297.4989999999998</v>
      </c>
      <c r="O286" s="242">
        <f>SUM(O287:O296)</f>
        <v>8262.7389999999978</v>
      </c>
      <c r="P286" s="242">
        <f>SUM(P287:P296)</f>
        <v>9239.4</v>
      </c>
      <c r="Q286" s="242">
        <f t="shared" ref="Q286:R286" si="45">SUM(Q287:Q296)</f>
        <v>0</v>
      </c>
      <c r="R286" s="242">
        <f t="shared" si="45"/>
        <v>0</v>
      </c>
    </row>
    <row r="287" spans="1:18" s="114" customFormat="1" ht="21" customHeight="1">
      <c r="A287" s="580"/>
      <c r="B287" s="573"/>
      <c r="C287" s="552"/>
      <c r="D287" s="552"/>
      <c r="E287" s="632"/>
      <c r="F287" s="552"/>
      <c r="G287" s="552"/>
      <c r="H287" s="552"/>
      <c r="I287" s="552"/>
      <c r="J287" s="552"/>
      <c r="K287" s="552"/>
      <c r="L287" s="234" t="s">
        <v>32</v>
      </c>
      <c r="M287" s="234" t="s">
        <v>41</v>
      </c>
      <c r="N287" s="243">
        <v>0</v>
      </c>
      <c r="O287" s="243">
        <v>0</v>
      </c>
      <c r="P287" s="243">
        <v>50</v>
      </c>
      <c r="Q287" s="243">
        <v>0</v>
      </c>
      <c r="R287" s="243">
        <v>0</v>
      </c>
    </row>
    <row r="288" spans="1:18" s="114" customFormat="1" ht="21" customHeight="1">
      <c r="A288" s="580"/>
      <c r="B288" s="573"/>
      <c r="C288" s="552"/>
      <c r="D288" s="552"/>
      <c r="E288" s="632"/>
      <c r="F288" s="552"/>
      <c r="G288" s="552"/>
      <c r="H288" s="552"/>
      <c r="I288" s="552"/>
      <c r="J288" s="552"/>
      <c r="K288" s="552"/>
      <c r="L288" s="234" t="s">
        <v>32</v>
      </c>
      <c r="M288" s="234" t="s">
        <v>37</v>
      </c>
      <c r="N288" s="243">
        <v>766</v>
      </c>
      <c r="O288" s="243">
        <v>741.08799999999997</v>
      </c>
      <c r="P288" s="243">
        <v>966</v>
      </c>
      <c r="Q288" s="243">
        <v>0</v>
      </c>
      <c r="R288" s="243">
        <v>0</v>
      </c>
    </row>
    <row r="289" spans="1:18" s="114" customFormat="1" ht="21" customHeight="1">
      <c r="A289" s="580"/>
      <c r="B289" s="573"/>
      <c r="C289" s="552"/>
      <c r="D289" s="552"/>
      <c r="E289" s="632"/>
      <c r="F289" s="552"/>
      <c r="G289" s="552"/>
      <c r="H289" s="552"/>
      <c r="I289" s="552"/>
      <c r="J289" s="552"/>
      <c r="K289" s="552"/>
      <c r="L289" s="234" t="s">
        <v>32</v>
      </c>
      <c r="M289" s="234" t="s">
        <v>33</v>
      </c>
      <c r="N289" s="243">
        <f>314.628</f>
        <v>314.62799999999999</v>
      </c>
      <c r="O289" s="243">
        <v>314.62799999999999</v>
      </c>
      <c r="P289" s="243">
        <v>663.3</v>
      </c>
      <c r="Q289" s="243">
        <v>0</v>
      </c>
      <c r="R289" s="243">
        <v>0</v>
      </c>
    </row>
    <row r="290" spans="1:18" s="114" customFormat="1" ht="21" customHeight="1">
      <c r="A290" s="580"/>
      <c r="B290" s="573"/>
      <c r="C290" s="552"/>
      <c r="D290" s="552"/>
      <c r="E290" s="632"/>
      <c r="F290" s="552"/>
      <c r="G290" s="552"/>
      <c r="H290" s="552"/>
      <c r="I290" s="552"/>
      <c r="J290" s="552"/>
      <c r="K290" s="552"/>
      <c r="L290" s="234" t="s">
        <v>32</v>
      </c>
      <c r="M290" s="234" t="s">
        <v>26</v>
      </c>
      <c r="N290" s="243">
        <f>29.17+130.337</f>
        <v>159.50700000000001</v>
      </c>
      <c r="O290" s="243">
        <f>29.17+130.337</f>
        <v>159.50700000000001</v>
      </c>
      <c r="P290" s="243">
        <f>160+150</f>
        <v>310</v>
      </c>
      <c r="Q290" s="243">
        <v>0</v>
      </c>
      <c r="R290" s="243">
        <v>0</v>
      </c>
    </row>
    <row r="291" spans="1:18" s="114" customFormat="1" ht="21" customHeight="1">
      <c r="A291" s="580"/>
      <c r="B291" s="573"/>
      <c r="C291" s="552"/>
      <c r="D291" s="552"/>
      <c r="E291" s="632"/>
      <c r="F291" s="552"/>
      <c r="G291" s="552"/>
      <c r="H291" s="552"/>
      <c r="I291" s="552"/>
      <c r="J291" s="552"/>
      <c r="K291" s="552"/>
      <c r="L291" s="234" t="s">
        <v>43</v>
      </c>
      <c r="M291" s="234" t="s">
        <v>32</v>
      </c>
      <c r="N291" s="243">
        <v>1493.8610000000001</v>
      </c>
      <c r="O291" s="243">
        <v>1493.8610000000001</v>
      </c>
      <c r="P291" s="243">
        <v>1381.8</v>
      </c>
      <c r="Q291" s="243">
        <v>0</v>
      </c>
      <c r="R291" s="243">
        <v>0</v>
      </c>
    </row>
    <row r="292" spans="1:18" s="114" customFormat="1" ht="21" customHeight="1">
      <c r="A292" s="580"/>
      <c r="B292" s="573"/>
      <c r="C292" s="552"/>
      <c r="D292" s="552"/>
      <c r="E292" s="632"/>
      <c r="F292" s="552"/>
      <c r="G292" s="552"/>
      <c r="H292" s="552"/>
      <c r="I292" s="552"/>
      <c r="J292" s="552"/>
      <c r="K292" s="552"/>
      <c r="L292" s="234" t="s">
        <v>43</v>
      </c>
      <c r="M292" s="234" t="s">
        <v>36</v>
      </c>
      <c r="N292" s="243">
        <v>3611.6010000000001</v>
      </c>
      <c r="O292" s="243">
        <v>3609.7869999999998</v>
      </c>
      <c r="P292" s="243">
        <v>3716</v>
      </c>
      <c r="Q292" s="243">
        <v>0</v>
      </c>
      <c r="R292" s="243">
        <v>0</v>
      </c>
    </row>
    <row r="293" spans="1:18" s="114" customFormat="1" ht="21" customHeight="1">
      <c r="A293" s="580"/>
      <c r="B293" s="573"/>
      <c r="C293" s="552"/>
      <c r="D293" s="552"/>
      <c r="E293" s="632"/>
      <c r="F293" s="552"/>
      <c r="G293" s="552"/>
      <c r="H293" s="552"/>
      <c r="I293" s="552"/>
      <c r="J293" s="552"/>
      <c r="K293" s="552"/>
      <c r="L293" s="234" t="s">
        <v>43</v>
      </c>
      <c r="M293" s="234" t="s">
        <v>41</v>
      </c>
      <c r="N293" s="243">
        <v>917.83</v>
      </c>
      <c r="O293" s="243">
        <v>909.79600000000005</v>
      </c>
      <c r="P293" s="243">
        <v>663.5</v>
      </c>
      <c r="Q293" s="243">
        <v>0</v>
      </c>
      <c r="R293" s="243">
        <v>0</v>
      </c>
    </row>
    <row r="294" spans="1:18" s="114" customFormat="1" ht="32.25" customHeight="1">
      <c r="A294" s="580"/>
      <c r="B294" s="573"/>
      <c r="C294" s="552"/>
      <c r="D294" s="552"/>
      <c r="E294" s="632"/>
      <c r="F294" s="552"/>
      <c r="G294" s="552"/>
      <c r="H294" s="552"/>
      <c r="I294" s="552" t="s">
        <v>815</v>
      </c>
      <c r="J294" s="552" t="s">
        <v>68</v>
      </c>
      <c r="K294" s="552" t="s">
        <v>116</v>
      </c>
      <c r="L294" s="234" t="s">
        <v>43</v>
      </c>
      <c r="M294" s="234" t="s">
        <v>38</v>
      </c>
      <c r="N294" s="243">
        <v>150.84200000000001</v>
      </c>
      <c r="O294" s="243">
        <v>150.84200000000001</v>
      </c>
      <c r="P294" s="243">
        <v>250</v>
      </c>
      <c r="Q294" s="243">
        <v>0</v>
      </c>
      <c r="R294" s="243">
        <v>0</v>
      </c>
    </row>
    <row r="295" spans="1:18" s="114" customFormat="1" ht="32.25" customHeight="1">
      <c r="A295" s="580"/>
      <c r="B295" s="573"/>
      <c r="C295" s="552"/>
      <c r="D295" s="552"/>
      <c r="E295" s="632"/>
      <c r="F295" s="552"/>
      <c r="G295" s="552"/>
      <c r="H295" s="552"/>
      <c r="I295" s="552"/>
      <c r="J295" s="552"/>
      <c r="K295" s="552"/>
      <c r="L295" s="234" t="s">
        <v>40</v>
      </c>
      <c r="M295" s="234" t="s">
        <v>32</v>
      </c>
      <c r="N295" s="243">
        <v>697.79700000000003</v>
      </c>
      <c r="O295" s="243">
        <v>697.79700000000003</v>
      </c>
      <c r="P295" s="243">
        <v>919.3</v>
      </c>
      <c r="Q295" s="243">
        <v>0</v>
      </c>
      <c r="R295" s="243">
        <v>0</v>
      </c>
    </row>
    <row r="296" spans="1:18" s="114" customFormat="1" ht="32.25" customHeight="1">
      <c r="A296" s="567"/>
      <c r="B296" s="574"/>
      <c r="C296" s="560"/>
      <c r="D296" s="560"/>
      <c r="E296" s="658"/>
      <c r="F296" s="560"/>
      <c r="G296" s="560"/>
      <c r="H296" s="560"/>
      <c r="I296" s="560"/>
      <c r="J296" s="560"/>
      <c r="K296" s="560"/>
      <c r="L296" s="234" t="s">
        <v>40</v>
      </c>
      <c r="M296" s="234" t="s">
        <v>37</v>
      </c>
      <c r="N296" s="243">
        <v>185.43299999999999</v>
      </c>
      <c r="O296" s="243">
        <v>185.43299999999999</v>
      </c>
      <c r="P296" s="243">
        <v>319.5</v>
      </c>
      <c r="Q296" s="243">
        <v>0</v>
      </c>
      <c r="R296" s="243">
        <v>0</v>
      </c>
    </row>
    <row r="297" spans="1:18" s="115" customFormat="1" ht="60">
      <c r="A297" s="55" t="s">
        <v>641</v>
      </c>
      <c r="B297" s="468">
        <v>1222</v>
      </c>
      <c r="C297" s="466" t="s">
        <v>56</v>
      </c>
      <c r="D297" s="452" t="s">
        <v>365</v>
      </c>
      <c r="E297" s="455" t="s">
        <v>145</v>
      </c>
      <c r="F297" s="55" t="s">
        <v>31</v>
      </c>
      <c r="G297" s="55" t="s">
        <v>31</v>
      </c>
      <c r="H297" s="55" t="s">
        <v>31</v>
      </c>
      <c r="I297" s="499" t="s">
        <v>420</v>
      </c>
      <c r="J297" s="499" t="s">
        <v>68</v>
      </c>
      <c r="K297" s="499" t="s">
        <v>182</v>
      </c>
      <c r="L297" s="468" t="s">
        <v>32</v>
      </c>
      <c r="M297" s="512" t="s">
        <v>24</v>
      </c>
      <c r="N297" s="77">
        <v>0</v>
      </c>
      <c r="O297" s="77">
        <v>0</v>
      </c>
      <c r="P297" s="77">
        <v>1500</v>
      </c>
      <c r="Q297" s="77">
        <v>1000</v>
      </c>
      <c r="R297" s="77">
        <v>1500</v>
      </c>
    </row>
    <row r="298" spans="1:18" s="115" customFormat="1" ht="72">
      <c r="A298" s="55"/>
      <c r="B298" s="473"/>
      <c r="C298" s="478"/>
      <c r="D298" s="478"/>
      <c r="E298" s="517"/>
      <c r="F298" s="93"/>
      <c r="G298" s="93"/>
      <c r="H298" s="93"/>
      <c r="I298" s="112" t="s">
        <v>579</v>
      </c>
      <c r="J298" s="112" t="s">
        <v>68</v>
      </c>
      <c r="K298" s="135" t="s">
        <v>182</v>
      </c>
      <c r="L298" s="473"/>
      <c r="M298" s="473"/>
      <c r="N298" s="94"/>
      <c r="O298" s="94"/>
      <c r="P298" s="94"/>
      <c r="Q298" s="94"/>
      <c r="R298" s="94"/>
    </row>
    <row r="299" spans="1:18" s="115" customFormat="1" ht="48">
      <c r="A299" s="39" t="s">
        <v>1414</v>
      </c>
      <c r="B299" s="40">
        <v>1226</v>
      </c>
      <c r="C299" s="25"/>
      <c r="D299" s="25"/>
      <c r="E299" s="25"/>
      <c r="F299" s="25"/>
      <c r="G299" s="25"/>
      <c r="H299" s="25"/>
      <c r="I299" s="25"/>
      <c r="J299" s="25"/>
      <c r="K299" s="25"/>
      <c r="L299" s="40" t="s">
        <v>32</v>
      </c>
      <c r="M299" s="40" t="s">
        <v>26</v>
      </c>
      <c r="N299" s="242">
        <f>SUM(N301:N303)</f>
        <v>118.446</v>
      </c>
      <c r="O299" s="242">
        <f>SUM(O301:O303)</f>
        <v>117.94</v>
      </c>
      <c r="P299" s="242">
        <f>SUM(P301:P303)</f>
        <v>142.03399999999999</v>
      </c>
      <c r="Q299" s="242">
        <f>SUM(Q301:Q303)</f>
        <v>142</v>
      </c>
      <c r="R299" s="242">
        <f>SUM(R301:R303)</f>
        <v>142</v>
      </c>
    </row>
    <row r="300" spans="1:18" s="115" customFormat="1" ht="12">
      <c r="A300" s="39" t="s">
        <v>97</v>
      </c>
      <c r="B300" s="40"/>
      <c r="C300" s="25"/>
      <c r="D300" s="25"/>
      <c r="E300" s="25"/>
      <c r="F300" s="25"/>
      <c r="G300" s="25"/>
      <c r="H300" s="25"/>
      <c r="I300" s="25"/>
      <c r="J300" s="25"/>
      <c r="K300" s="25"/>
      <c r="L300" s="467"/>
      <c r="M300" s="467"/>
      <c r="N300" s="38"/>
      <c r="O300" s="38"/>
      <c r="P300" s="38"/>
      <c r="Q300" s="38"/>
      <c r="R300" s="169"/>
    </row>
    <row r="301" spans="1:18" s="115" customFormat="1" ht="36" customHeight="1">
      <c r="A301" s="37"/>
      <c r="B301" s="467"/>
      <c r="C301" s="477" t="s">
        <v>56</v>
      </c>
      <c r="D301" s="477" t="s">
        <v>197</v>
      </c>
      <c r="E301" s="477" t="s">
        <v>57</v>
      </c>
      <c r="F301" s="477"/>
      <c r="G301" s="477"/>
      <c r="H301" s="477"/>
      <c r="I301" s="477" t="s">
        <v>469</v>
      </c>
      <c r="J301" s="477" t="s">
        <v>198</v>
      </c>
      <c r="K301" s="477" t="s">
        <v>118</v>
      </c>
      <c r="L301" s="467"/>
      <c r="M301" s="467"/>
      <c r="N301" s="20">
        <v>114.94</v>
      </c>
      <c r="O301" s="20">
        <v>114.94</v>
      </c>
      <c r="P301" s="20">
        <v>127.03400000000001</v>
      </c>
      <c r="Q301" s="20">
        <v>127</v>
      </c>
      <c r="R301" s="20">
        <v>127</v>
      </c>
    </row>
    <row r="302" spans="1:18" s="115" customFormat="1" ht="40.5" customHeight="1">
      <c r="A302" s="55"/>
      <c r="B302" s="468"/>
      <c r="C302" s="453"/>
      <c r="D302" s="453"/>
      <c r="E302" s="453"/>
      <c r="F302" s="453"/>
      <c r="G302" s="453"/>
      <c r="H302" s="453"/>
      <c r="I302" s="453" t="s">
        <v>199</v>
      </c>
      <c r="J302" s="453" t="s">
        <v>200</v>
      </c>
      <c r="K302" s="453" t="s">
        <v>201</v>
      </c>
      <c r="L302" s="468"/>
      <c r="M302" s="468"/>
      <c r="N302" s="53">
        <v>0</v>
      </c>
      <c r="O302" s="53">
        <v>0</v>
      </c>
      <c r="P302" s="53">
        <v>0</v>
      </c>
      <c r="Q302" s="53">
        <v>0</v>
      </c>
      <c r="R302" s="171">
        <v>0</v>
      </c>
    </row>
    <row r="303" spans="1:18" s="115" customFormat="1" ht="47.25" customHeight="1">
      <c r="A303" s="55"/>
      <c r="B303" s="468"/>
      <c r="C303" s="453"/>
      <c r="D303" s="453"/>
      <c r="E303" s="453"/>
      <c r="F303" s="537"/>
      <c r="G303" s="81"/>
      <c r="H303" s="81"/>
      <c r="I303" s="453" t="s">
        <v>1322</v>
      </c>
      <c r="J303" s="453" t="s">
        <v>202</v>
      </c>
      <c r="K303" s="453" t="s">
        <v>203</v>
      </c>
      <c r="L303" s="468"/>
      <c r="M303" s="468"/>
      <c r="N303" s="53">
        <v>3.5059999999999998</v>
      </c>
      <c r="O303" s="53">
        <v>3</v>
      </c>
      <c r="P303" s="53">
        <v>15</v>
      </c>
      <c r="Q303" s="53">
        <v>15</v>
      </c>
      <c r="R303" s="53">
        <v>15</v>
      </c>
    </row>
    <row r="304" spans="1:18" s="115" customFormat="1" ht="108">
      <c r="A304" s="37" t="s">
        <v>4</v>
      </c>
      <c r="B304" s="467">
        <v>1300</v>
      </c>
      <c r="C304" s="467" t="s">
        <v>29</v>
      </c>
      <c r="D304" s="467" t="s">
        <v>29</v>
      </c>
      <c r="E304" s="467" t="s">
        <v>29</v>
      </c>
      <c r="F304" s="467" t="s">
        <v>29</v>
      </c>
      <c r="G304" s="467" t="s">
        <v>29</v>
      </c>
      <c r="H304" s="467" t="s">
        <v>29</v>
      </c>
      <c r="I304" s="467" t="s">
        <v>29</v>
      </c>
      <c r="J304" s="467" t="s">
        <v>29</v>
      </c>
      <c r="K304" s="467" t="s">
        <v>29</v>
      </c>
      <c r="L304" s="467"/>
      <c r="M304" s="467"/>
      <c r="N304" s="38">
        <f>N305+N311+N328</f>
        <v>7633.5710000000008</v>
      </c>
      <c r="O304" s="38">
        <f>O305+O311+O328</f>
        <v>7626.6560000000009</v>
      </c>
      <c r="P304" s="38">
        <f>P305+P311+P328</f>
        <v>7293.5050000000001</v>
      </c>
      <c r="Q304" s="38">
        <f>Q305+Q311+Q328</f>
        <v>6644.2000000000007</v>
      </c>
      <c r="R304" s="38">
        <f>R305+R311+R328</f>
        <v>6889.9</v>
      </c>
    </row>
    <row r="305" spans="1:18" s="115" customFormat="1" ht="60">
      <c r="A305" s="37" t="s">
        <v>552</v>
      </c>
      <c r="B305" s="467">
        <v>1301</v>
      </c>
      <c r="C305" s="467" t="s">
        <v>29</v>
      </c>
      <c r="D305" s="467" t="s">
        <v>29</v>
      </c>
      <c r="E305" s="467" t="s">
        <v>29</v>
      </c>
      <c r="F305" s="467" t="s">
        <v>29</v>
      </c>
      <c r="G305" s="467" t="s">
        <v>29</v>
      </c>
      <c r="H305" s="467" t="s">
        <v>29</v>
      </c>
      <c r="I305" s="467" t="s">
        <v>29</v>
      </c>
      <c r="J305" s="467" t="s">
        <v>29</v>
      </c>
      <c r="K305" s="467" t="s">
        <v>29</v>
      </c>
      <c r="L305" s="467"/>
      <c r="M305" s="467"/>
      <c r="N305" s="38">
        <f>N306</f>
        <v>381.47499999999997</v>
      </c>
      <c r="O305" s="38">
        <f t="shared" ref="O305:R305" si="46">O306</f>
        <v>381.47499999999997</v>
      </c>
      <c r="P305" s="38">
        <f t="shared" si="46"/>
        <v>245.7</v>
      </c>
      <c r="Q305" s="38">
        <f t="shared" si="46"/>
        <v>0</v>
      </c>
      <c r="R305" s="38">
        <f t="shared" si="46"/>
        <v>245.7</v>
      </c>
    </row>
    <row r="306" spans="1:18" s="115" customFormat="1" ht="23.25" customHeight="1">
      <c r="A306" s="39" t="s">
        <v>49</v>
      </c>
      <c r="B306" s="40">
        <v>1307</v>
      </c>
      <c r="C306" s="39" t="s">
        <v>31</v>
      </c>
      <c r="D306" s="39" t="s">
        <v>31</v>
      </c>
      <c r="E306" s="39" t="s">
        <v>31</v>
      </c>
      <c r="F306" s="39" t="s">
        <v>31</v>
      </c>
      <c r="G306" s="39" t="s">
        <v>31</v>
      </c>
      <c r="H306" s="39" t="s">
        <v>31</v>
      </c>
      <c r="I306" s="39" t="s">
        <v>31</v>
      </c>
      <c r="J306" s="39" t="s">
        <v>31</v>
      </c>
      <c r="K306" s="39" t="s">
        <v>31</v>
      </c>
      <c r="L306" s="40" t="s">
        <v>37</v>
      </c>
      <c r="M306" s="40" t="s">
        <v>25</v>
      </c>
      <c r="N306" s="242">
        <f>SUM(N307:N310)</f>
        <v>381.47499999999997</v>
      </c>
      <c r="O306" s="242">
        <f>SUM(O307:O310)</f>
        <v>381.47499999999997</v>
      </c>
      <c r="P306" s="242">
        <f>SUM(P307:P310)</f>
        <v>245.7</v>
      </c>
      <c r="Q306" s="242">
        <f>SUM(Q307:Q310)</f>
        <v>0</v>
      </c>
      <c r="R306" s="242">
        <f>SUM(R307:R310)</f>
        <v>245.7</v>
      </c>
    </row>
    <row r="307" spans="1:18" s="114" customFormat="1" ht="60">
      <c r="A307" s="45"/>
      <c r="B307" s="509"/>
      <c r="C307" s="453" t="s">
        <v>56</v>
      </c>
      <c r="D307" s="453" t="s">
        <v>368</v>
      </c>
      <c r="E307" s="503" t="s">
        <v>145</v>
      </c>
      <c r="F307" s="45"/>
      <c r="G307" s="45"/>
      <c r="H307" s="45"/>
      <c r="I307" s="474" t="s">
        <v>590</v>
      </c>
      <c r="J307" s="474" t="s">
        <v>68</v>
      </c>
      <c r="K307" s="474" t="s">
        <v>411</v>
      </c>
      <c r="L307" s="459"/>
      <c r="M307" s="459"/>
      <c r="N307" s="117">
        <f>101.8+83.475</f>
        <v>185.27499999999998</v>
      </c>
      <c r="O307" s="117">
        <f>101.8+83.475</f>
        <v>185.27499999999998</v>
      </c>
      <c r="P307" s="117">
        <v>245.7</v>
      </c>
      <c r="Q307" s="117">
        <v>0</v>
      </c>
      <c r="R307" s="117">
        <v>245.7</v>
      </c>
    </row>
    <row r="308" spans="1:18" s="114" customFormat="1" ht="60">
      <c r="A308" s="45"/>
      <c r="B308" s="509"/>
      <c r="C308" s="453"/>
      <c r="D308" s="453"/>
      <c r="E308" s="503"/>
      <c r="F308" s="45"/>
      <c r="G308" s="45"/>
      <c r="H308" s="45"/>
      <c r="I308" s="474" t="s">
        <v>517</v>
      </c>
      <c r="J308" s="474" t="s">
        <v>68</v>
      </c>
      <c r="K308" s="474" t="s">
        <v>472</v>
      </c>
      <c r="L308" s="459"/>
      <c r="M308" s="459"/>
      <c r="N308" s="117"/>
      <c r="O308" s="117"/>
      <c r="P308" s="117"/>
      <c r="Q308" s="117"/>
      <c r="R308" s="139"/>
    </row>
    <row r="309" spans="1:18" s="114" customFormat="1" ht="48">
      <c r="A309" s="45"/>
      <c r="B309" s="509"/>
      <c r="C309" s="453"/>
      <c r="D309" s="453"/>
      <c r="E309" s="503"/>
      <c r="F309" s="45"/>
      <c r="G309" s="45"/>
      <c r="H309" s="45"/>
      <c r="I309" s="474" t="s">
        <v>91</v>
      </c>
      <c r="J309" s="474" t="s">
        <v>68</v>
      </c>
      <c r="K309" s="474" t="s">
        <v>71</v>
      </c>
      <c r="L309" s="459"/>
      <c r="M309" s="459"/>
      <c r="N309" s="117"/>
      <c r="O309" s="117"/>
      <c r="P309" s="117"/>
      <c r="Q309" s="117"/>
      <c r="R309" s="139"/>
    </row>
    <row r="310" spans="1:18" s="114" customFormat="1" ht="96.75" customHeight="1">
      <c r="A310" s="45"/>
      <c r="B310" s="509" t="s">
        <v>417</v>
      </c>
      <c r="C310" s="45"/>
      <c r="D310" s="45"/>
      <c r="E310" s="45"/>
      <c r="F310" s="45"/>
      <c r="G310" s="45"/>
      <c r="H310" s="45"/>
      <c r="I310" s="474" t="s">
        <v>1109</v>
      </c>
      <c r="J310" s="474" t="s">
        <v>68</v>
      </c>
      <c r="K310" s="474" t="s">
        <v>1019</v>
      </c>
      <c r="L310" s="459"/>
      <c r="M310" s="459"/>
      <c r="N310" s="117">
        <v>196.2</v>
      </c>
      <c r="O310" s="117">
        <v>196.2</v>
      </c>
      <c r="P310" s="117">
        <v>0</v>
      </c>
      <c r="Q310" s="117">
        <v>0</v>
      </c>
      <c r="R310" s="117">
        <v>0</v>
      </c>
    </row>
    <row r="311" spans="1:18" s="115" customFormat="1" ht="84">
      <c r="A311" s="37" t="s">
        <v>642</v>
      </c>
      <c r="B311" s="467">
        <v>1500</v>
      </c>
      <c r="C311" s="467" t="s">
        <v>29</v>
      </c>
      <c r="D311" s="467" t="s">
        <v>29</v>
      </c>
      <c r="E311" s="467" t="s">
        <v>29</v>
      </c>
      <c r="F311" s="467" t="s">
        <v>29</v>
      </c>
      <c r="G311" s="467" t="s">
        <v>29</v>
      </c>
      <c r="H311" s="467" t="s">
        <v>29</v>
      </c>
      <c r="I311" s="467" t="s">
        <v>29</v>
      </c>
      <c r="J311" s="467" t="s">
        <v>29</v>
      </c>
      <c r="K311" s="467" t="s">
        <v>29</v>
      </c>
      <c r="L311" s="467"/>
      <c r="M311" s="467"/>
      <c r="N311" s="38">
        <f>N312</f>
        <v>5391.8620000000001</v>
      </c>
      <c r="O311" s="38">
        <f>O312</f>
        <v>5391.1750000000002</v>
      </c>
      <c r="P311" s="38">
        <f>P312</f>
        <v>4777.9210000000003</v>
      </c>
      <c r="Q311" s="38">
        <f t="shared" ref="Q311:R311" si="47">Q312</f>
        <v>4500.3</v>
      </c>
      <c r="R311" s="38">
        <f t="shared" si="47"/>
        <v>4500.3</v>
      </c>
    </row>
    <row r="312" spans="1:18" s="115" customFormat="1" ht="36">
      <c r="A312" s="37" t="s">
        <v>643</v>
      </c>
      <c r="B312" s="467">
        <v>1503</v>
      </c>
      <c r="C312" s="37" t="s">
        <v>31</v>
      </c>
      <c r="D312" s="37" t="s">
        <v>31</v>
      </c>
      <c r="E312" s="37" t="s">
        <v>31</v>
      </c>
      <c r="F312" s="37" t="s">
        <v>31</v>
      </c>
      <c r="G312" s="37" t="s">
        <v>31</v>
      </c>
      <c r="H312" s="37" t="s">
        <v>31</v>
      </c>
      <c r="I312" s="37" t="s">
        <v>31</v>
      </c>
      <c r="J312" s="37" t="s">
        <v>31</v>
      </c>
      <c r="K312" s="37" t="s">
        <v>31</v>
      </c>
      <c r="L312" s="467"/>
      <c r="M312" s="467"/>
      <c r="N312" s="38">
        <f>SUM(N314:N327)</f>
        <v>5391.8620000000001</v>
      </c>
      <c r="O312" s="38">
        <f>SUM(O314:O327)</f>
        <v>5391.1750000000002</v>
      </c>
      <c r="P312" s="38">
        <f>SUM(P314:P327)</f>
        <v>4777.9210000000003</v>
      </c>
      <c r="Q312" s="38">
        <f t="shared" ref="Q312:R312" si="48">SUM(Q314:Q327)</f>
        <v>4500.3</v>
      </c>
      <c r="R312" s="38">
        <f t="shared" si="48"/>
        <v>4500.3</v>
      </c>
    </row>
    <row r="313" spans="1:18" s="115" customFormat="1" ht="12">
      <c r="A313" s="37" t="s">
        <v>97</v>
      </c>
      <c r="B313" s="467"/>
      <c r="C313" s="37"/>
      <c r="D313" s="37"/>
      <c r="E313" s="37"/>
      <c r="F313" s="37"/>
      <c r="G313" s="37"/>
      <c r="H313" s="37"/>
      <c r="I313" s="37"/>
      <c r="J313" s="37"/>
      <c r="K313" s="37"/>
      <c r="L313" s="467"/>
      <c r="M313" s="467"/>
      <c r="N313" s="38"/>
      <c r="O313" s="38"/>
      <c r="P313" s="38"/>
      <c r="Q313" s="38"/>
      <c r="R313" s="169"/>
    </row>
    <row r="314" spans="1:18" s="115" customFormat="1" ht="177.75" customHeight="1">
      <c r="A314" s="52"/>
      <c r="B314" s="508"/>
      <c r="C314" s="477" t="s">
        <v>56</v>
      </c>
      <c r="D314" s="477" t="s">
        <v>366</v>
      </c>
      <c r="E314" s="516" t="s">
        <v>145</v>
      </c>
      <c r="F314" s="559" t="s">
        <v>184</v>
      </c>
      <c r="G314" s="477" t="s">
        <v>185</v>
      </c>
      <c r="H314" s="516" t="s">
        <v>118</v>
      </c>
      <c r="I314" s="305" t="s">
        <v>1242</v>
      </c>
      <c r="J314" s="136" t="s">
        <v>68</v>
      </c>
      <c r="K314" s="136" t="s">
        <v>1243</v>
      </c>
      <c r="L314" s="508" t="s">
        <v>23</v>
      </c>
      <c r="M314" s="508" t="s">
        <v>41</v>
      </c>
      <c r="N314" s="20">
        <v>1000</v>
      </c>
      <c r="O314" s="20">
        <v>1000</v>
      </c>
      <c r="P314" s="20">
        <v>1000</v>
      </c>
      <c r="Q314" s="20">
        <v>1000</v>
      </c>
      <c r="R314" s="170">
        <v>1000</v>
      </c>
    </row>
    <row r="315" spans="1:18" s="115" customFormat="1" ht="216.75" customHeight="1">
      <c r="A315" s="45"/>
      <c r="B315" s="509" t="s">
        <v>183</v>
      </c>
      <c r="C315" s="81"/>
      <c r="D315" s="81"/>
      <c r="E315" s="81"/>
      <c r="F315" s="552"/>
      <c r="G315" s="81"/>
      <c r="H315" s="81"/>
      <c r="I315" s="301" t="s">
        <v>1393</v>
      </c>
      <c r="J315" s="521" t="s">
        <v>68</v>
      </c>
      <c r="K315" s="521" t="s">
        <v>473</v>
      </c>
      <c r="L315" s="508" t="s">
        <v>23</v>
      </c>
      <c r="M315" s="508" t="s">
        <v>41</v>
      </c>
      <c r="N315" s="53">
        <v>1000</v>
      </c>
      <c r="O315" s="53">
        <v>1000</v>
      </c>
      <c r="P315" s="53">
        <v>1000</v>
      </c>
      <c r="Q315" s="53">
        <v>1500</v>
      </c>
      <c r="R315" s="171">
        <v>1500</v>
      </c>
    </row>
    <row r="316" spans="1:18" s="115" customFormat="1" ht="46.5" customHeight="1">
      <c r="A316" s="45"/>
      <c r="B316" s="509"/>
      <c r="C316" s="552" t="s">
        <v>531</v>
      </c>
      <c r="D316" s="552" t="s">
        <v>844</v>
      </c>
      <c r="E316" s="552" t="s">
        <v>532</v>
      </c>
      <c r="F316" s="552" t="s">
        <v>1316</v>
      </c>
      <c r="G316" s="552" t="s">
        <v>1317</v>
      </c>
      <c r="H316" s="552" t="s">
        <v>1345</v>
      </c>
      <c r="I316" s="453" t="s">
        <v>542</v>
      </c>
      <c r="J316" s="453" t="s">
        <v>68</v>
      </c>
      <c r="K316" s="453" t="s">
        <v>421</v>
      </c>
      <c r="L316" s="508" t="s">
        <v>23</v>
      </c>
      <c r="M316" s="508" t="s">
        <v>41</v>
      </c>
      <c r="N316" s="53">
        <v>0</v>
      </c>
      <c r="O316" s="53"/>
      <c r="P316" s="53"/>
      <c r="Q316" s="53"/>
      <c r="R316" s="171"/>
    </row>
    <row r="317" spans="1:18" s="115" customFormat="1" ht="46.5" customHeight="1">
      <c r="A317" s="45"/>
      <c r="B317" s="509"/>
      <c r="C317" s="552"/>
      <c r="D317" s="552"/>
      <c r="E317" s="552"/>
      <c r="F317" s="552"/>
      <c r="G317" s="552"/>
      <c r="H317" s="552"/>
      <c r="I317" s="453" t="s">
        <v>91</v>
      </c>
      <c r="J317" s="453" t="s">
        <v>68</v>
      </c>
      <c r="K317" s="453" t="s">
        <v>71</v>
      </c>
      <c r="L317" s="508" t="s">
        <v>23</v>
      </c>
      <c r="M317" s="508" t="s">
        <v>41</v>
      </c>
      <c r="N317" s="53">
        <v>0</v>
      </c>
      <c r="O317" s="53"/>
      <c r="P317" s="53"/>
      <c r="Q317" s="53"/>
      <c r="R317" s="171"/>
    </row>
    <row r="318" spans="1:18" s="115" customFormat="1" ht="60" customHeight="1">
      <c r="A318" s="45"/>
      <c r="B318" s="509" t="s">
        <v>419</v>
      </c>
      <c r="C318" s="552"/>
      <c r="D318" s="552"/>
      <c r="E318" s="552"/>
      <c r="F318" s="552" t="s">
        <v>1383</v>
      </c>
      <c r="G318" s="453" t="s">
        <v>1384</v>
      </c>
      <c r="H318" s="503" t="s">
        <v>1345</v>
      </c>
      <c r="I318" s="552" t="s">
        <v>1385</v>
      </c>
      <c r="J318" s="552" t="s">
        <v>68</v>
      </c>
      <c r="K318" s="552" t="s">
        <v>1386</v>
      </c>
      <c r="L318" s="508" t="s">
        <v>23</v>
      </c>
      <c r="M318" s="508" t="s">
        <v>41</v>
      </c>
      <c r="N318" s="53">
        <v>440.404</v>
      </c>
      <c r="O318" s="53">
        <v>440.404</v>
      </c>
      <c r="P318" s="53">
        <v>400.48</v>
      </c>
      <c r="Q318" s="53">
        <v>0</v>
      </c>
      <c r="R318" s="53">
        <v>0</v>
      </c>
    </row>
    <row r="319" spans="1:18" s="115" customFormat="1" ht="12">
      <c r="A319" s="45"/>
      <c r="B319" s="509" t="s">
        <v>418</v>
      </c>
      <c r="C319" s="552"/>
      <c r="D319" s="552"/>
      <c r="E319" s="552"/>
      <c r="F319" s="552"/>
      <c r="G319" s="181"/>
      <c r="H319" s="181"/>
      <c r="I319" s="552"/>
      <c r="J319" s="552"/>
      <c r="K319" s="552"/>
      <c r="L319" s="368" t="s">
        <v>23</v>
      </c>
      <c r="M319" s="368" t="s">
        <v>41</v>
      </c>
      <c r="N319" s="53">
        <v>245.55600000000001</v>
      </c>
      <c r="O319" s="53">
        <v>245.55600000000001</v>
      </c>
      <c r="P319" s="53">
        <v>377.14100000000002</v>
      </c>
      <c r="Q319" s="53">
        <v>0</v>
      </c>
      <c r="R319" s="53">
        <v>0</v>
      </c>
    </row>
    <row r="320" spans="1:18" s="115" customFormat="1" ht="60" customHeight="1">
      <c r="A320" s="45"/>
      <c r="B320" s="509"/>
      <c r="C320" s="552"/>
      <c r="D320" s="552"/>
      <c r="E320" s="552"/>
      <c r="F320" s="552"/>
      <c r="G320" s="181"/>
      <c r="H320" s="181"/>
      <c r="I320" s="453" t="s">
        <v>125</v>
      </c>
      <c r="J320" s="453" t="s">
        <v>423</v>
      </c>
      <c r="K320" s="453" t="s">
        <v>424</v>
      </c>
      <c r="L320" s="508" t="s">
        <v>23</v>
      </c>
      <c r="M320" s="508" t="s">
        <v>41</v>
      </c>
      <c r="N320" s="53">
        <f>5+385.04</f>
        <v>390.04</v>
      </c>
      <c r="O320" s="53">
        <f>5+385.04</f>
        <v>390.04</v>
      </c>
      <c r="P320" s="53">
        <f>400.48+17.62</f>
        <v>418.1</v>
      </c>
      <c r="Q320" s="53">
        <v>418.1</v>
      </c>
      <c r="R320" s="53">
        <v>418.1</v>
      </c>
    </row>
    <row r="321" spans="1:18" s="115" customFormat="1" ht="72">
      <c r="A321" s="45"/>
      <c r="B321" s="509"/>
      <c r="C321" s="81"/>
      <c r="D321" s="81"/>
      <c r="E321" s="81"/>
      <c r="F321" s="552"/>
      <c r="G321" s="81"/>
      <c r="H321" s="81"/>
      <c r="I321" s="301" t="s">
        <v>186</v>
      </c>
      <c r="J321" s="521" t="s">
        <v>68</v>
      </c>
      <c r="K321" s="521" t="s">
        <v>106</v>
      </c>
      <c r="L321" s="508" t="s">
        <v>23</v>
      </c>
      <c r="M321" s="508" t="s">
        <v>41</v>
      </c>
      <c r="N321" s="53">
        <v>1730.7429999999999</v>
      </c>
      <c r="O321" s="53">
        <v>1730.056</v>
      </c>
      <c r="P321" s="53">
        <v>1079.4000000000001</v>
      </c>
      <c r="Q321" s="53">
        <v>1079.4000000000001</v>
      </c>
      <c r="R321" s="53">
        <v>1079.4000000000001</v>
      </c>
    </row>
    <row r="322" spans="1:18" s="115" customFormat="1" ht="72">
      <c r="A322" s="45"/>
      <c r="B322" s="509"/>
      <c r="C322" s="81"/>
      <c r="D322" s="81"/>
      <c r="E322" s="81"/>
      <c r="F322" s="81"/>
      <c r="G322" s="81"/>
      <c r="H322" s="81"/>
      <c r="I322" s="301" t="s">
        <v>1075</v>
      </c>
      <c r="J322" s="521" t="s">
        <v>68</v>
      </c>
      <c r="K322" s="521" t="s">
        <v>373</v>
      </c>
      <c r="L322" s="459"/>
      <c r="M322" s="459"/>
      <c r="N322" s="53"/>
      <c r="O322" s="53"/>
      <c r="P322" s="53"/>
      <c r="Q322" s="53"/>
      <c r="R322" s="53"/>
    </row>
    <row r="323" spans="1:18" s="115" customFormat="1" ht="107.25" customHeight="1">
      <c r="A323" s="45"/>
      <c r="B323" s="509"/>
      <c r="C323" s="81"/>
      <c r="D323" s="81"/>
      <c r="E323" s="81"/>
      <c r="F323" s="81"/>
      <c r="G323" s="81"/>
      <c r="H323" s="81"/>
      <c r="I323" s="301" t="s">
        <v>991</v>
      </c>
      <c r="J323" s="521" t="s">
        <v>68</v>
      </c>
      <c r="K323" s="521" t="s">
        <v>990</v>
      </c>
      <c r="L323" s="509" t="s">
        <v>23</v>
      </c>
      <c r="M323" s="509" t="s">
        <v>41</v>
      </c>
      <c r="N323" s="53">
        <v>20</v>
      </c>
      <c r="O323" s="53">
        <v>20</v>
      </c>
      <c r="P323" s="53">
        <v>300</v>
      </c>
      <c r="Q323" s="53">
        <v>300</v>
      </c>
      <c r="R323" s="53">
        <v>300</v>
      </c>
    </row>
    <row r="324" spans="1:18" s="115" customFormat="1" ht="60" customHeight="1">
      <c r="A324" s="45"/>
      <c r="B324" s="509"/>
      <c r="C324" s="453" t="s">
        <v>56</v>
      </c>
      <c r="D324" s="453" t="s">
        <v>798</v>
      </c>
      <c r="E324" s="503" t="s">
        <v>145</v>
      </c>
      <c r="F324" s="81"/>
      <c r="G324" s="81"/>
      <c r="H324" s="81"/>
      <c r="I324" s="301" t="s">
        <v>797</v>
      </c>
      <c r="J324" s="521" t="s">
        <v>794</v>
      </c>
      <c r="K324" s="521" t="s">
        <v>60</v>
      </c>
      <c r="L324" s="509" t="s">
        <v>23</v>
      </c>
      <c r="M324" s="509" t="s">
        <v>33</v>
      </c>
      <c r="N324" s="53">
        <v>0</v>
      </c>
      <c r="O324" s="53">
        <v>0</v>
      </c>
      <c r="P324" s="53">
        <v>2.8</v>
      </c>
      <c r="Q324" s="53">
        <v>2.8</v>
      </c>
      <c r="R324" s="58">
        <v>2.8</v>
      </c>
    </row>
    <row r="325" spans="1:18" s="114" customFormat="1" ht="72" customHeight="1">
      <c r="A325" s="45"/>
      <c r="B325" s="459"/>
      <c r="C325" s="578" t="s">
        <v>1319</v>
      </c>
      <c r="D325" s="554" t="s">
        <v>1320</v>
      </c>
      <c r="E325" s="652" t="s">
        <v>1321</v>
      </c>
      <c r="F325" s="552" t="s">
        <v>1318</v>
      </c>
      <c r="G325" s="552" t="s">
        <v>1303</v>
      </c>
      <c r="H325" s="632" t="s">
        <v>1345</v>
      </c>
      <c r="I325" s="432" t="s">
        <v>122</v>
      </c>
      <c r="J325" s="449" t="s">
        <v>68</v>
      </c>
      <c r="K325" s="295" t="s">
        <v>123</v>
      </c>
      <c r="L325" s="84" t="s">
        <v>23</v>
      </c>
      <c r="M325" s="506" t="s">
        <v>41</v>
      </c>
      <c r="N325" s="167">
        <f>12.747+27.619</f>
        <v>40.366</v>
      </c>
      <c r="O325" s="167">
        <f>12.747+27.619</f>
        <v>40.366</v>
      </c>
      <c r="P325" s="167">
        <v>200</v>
      </c>
      <c r="Q325" s="167">
        <v>200</v>
      </c>
      <c r="R325" s="167">
        <v>200</v>
      </c>
    </row>
    <row r="326" spans="1:18" s="114" customFormat="1" ht="48.75" customHeight="1">
      <c r="A326" s="45"/>
      <c r="B326" s="459">
        <v>601</v>
      </c>
      <c r="C326" s="578"/>
      <c r="D326" s="571"/>
      <c r="E326" s="652"/>
      <c r="F326" s="552"/>
      <c r="G326" s="552"/>
      <c r="H326" s="632"/>
      <c r="I326" s="642" t="s">
        <v>973</v>
      </c>
      <c r="J326" s="642" t="s">
        <v>68</v>
      </c>
      <c r="K326" s="642" t="s">
        <v>1464</v>
      </c>
      <c r="L326" s="57"/>
      <c r="M326" s="507"/>
      <c r="N326" s="168">
        <v>435.54500000000002</v>
      </c>
      <c r="O326" s="168">
        <v>435.54500000000002</v>
      </c>
      <c r="P326" s="168">
        <v>0</v>
      </c>
      <c r="Q326" s="168">
        <v>0</v>
      </c>
      <c r="R326" s="168">
        <v>0</v>
      </c>
    </row>
    <row r="327" spans="1:18" s="114" customFormat="1" ht="48.75" customHeight="1">
      <c r="A327" s="48"/>
      <c r="B327" s="72" t="s">
        <v>558</v>
      </c>
      <c r="C327" s="579"/>
      <c r="D327" s="112"/>
      <c r="E327" s="306"/>
      <c r="F327" s="560"/>
      <c r="G327" s="560"/>
      <c r="H327" s="658"/>
      <c r="I327" s="643"/>
      <c r="J327" s="643"/>
      <c r="K327" s="643"/>
      <c r="L327" s="190"/>
      <c r="M327" s="146"/>
      <c r="N327" s="385">
        <v>89.207999999999998</v>
      </c>
      <c r="O327" s="385">
        <v>89.207999999999998</v>
      </c>
      <c r="P327" s="385">
        <v>0</v>
      </c>
      <c r="Q327" s="385">
        <v>0</v>
      </c>
      <c r="R327" s="385">
        <v>0</v>
      </c>
    </row>
    <row r="328" spans="1:18" s="115" customFormat="1" ht="96">
      <c r="A328" s="39" t="s">
        <v>644</v>
      </c>
      <c r="B328" s="176" t="s">
        <v>645</v>
      </c>
      <c r="C328" s="193"/>
      <c r="D328" s="193"/>
      <c r="E328" s="193"/>
      <c r="F328" s="193"/>
      <c r="G328" s="193"/>
      <c r="H328" s="193"/>
      <c r="I328" s="262"/>
      <c r="J328" s="254"/>
      <c r="K328" s="254"/>
      <c r="L328" s="40"/>
      <c r="M328" s="40"/>
      <c r="N328" s="242">
        <f t="shared" ref="N328:O328" si="49">SUM(N329:N329)+N330+N331</f>
        <v>1860.2340000000002</v>
      </c>
      <c r="O328" s="242">
        <f t="shared" si="49"/>
        <v>1854.0060000000001</v>
      </c>
      <c r="P328" s="242">
        <f>SUM(P329:P329)+P330+P331</f>
        <v>2269.884</v>
      </c>
      <c r="Q328" s="242">
        <f t="shared" ref="Q328:R328" si="50">SUM(Q329:Q329)+Q330+Q331</f>
        <v>2143.9</v>
      </c>
      <c r="R328" s="242">
        <f t="shared" si="50"/>
        <v>2143.9</v>
      </c>
    </row>
    <row r="329" spans="1:18" s="115" customFormat="1" ht="72">
      <c r="A329" s="451" t="s">
        <v>646</v>
      </c>
      <c r="B329" s="467">
        <v>1601</v>
      </c>
      <c r="C329" s="477" t="s">
        <v>187</v>
      </c>
      <c r="D329" s="477" t="s">
        <v>188</v>
      </c>
      <c r="E329" s="477" t="s">
        <v>189</v>
      </c>
      <c r="F329" s="477"/>
      <c r="G329" s="477"/>
      <c r="H329" s="477"/>
      <c r="I329" s="305" t="s">
        <v>190</v>
      </c>
      <c r="J329" s="136" t="s">
        <v>68</v>
      </c>
      <c r="K329" s="136" t="s">
        <v>191</v>
      </c>
      <c r="L329" s="467" t="s">
        <v>32</v>
      </c>
      <c r="M329" s="467" t="s">
        <v>26</v>
      </c>
      <c r="N329" s="38">
        <v>1679.5350000000001</v>
      </c>
      <c r="O329" s="38">
        <v>1673.307</v>
      </c>
      <c r="P329" s="38">
        <v>2080.5</v>
      </c>
      <c r="Q329" s="38">
        <v>1954.5</v>
      </c>
      <c r="R329" s="38">
        <v>1954.5</v>
      </c>
    </row>
    <row r="330" spans="1:18" s="115" customFormat="1" ht="108.75" hidden="1" customHeight="1">
      <c r="A330" s="37" t="s">
        <v>647</v>
      </c>
      <c r="B330" s="467">
        <v>1602</v>
      </c>
      <c r="C330" s="461" t="s">
        <v>367</v>
      </c>
      <c r="D330" s="461" t="s">
        <v>193</v>
      </c>
      <c r="E330" s="461" t="s">
        <v>194</v>
      </c>
      <c r="F330" s="461" t="s">
        <v>426</v>
      </c>
      <c r="G330" s="461" t="s">
        <v>427</v>
      </c>
      <c r="H330" s="461" t="s">
        <v>428</v>
      </c>
      <c r="I330" s="305" t="s">
        <v>195</v>
      </c>
      <c r="J330" s="136" t="s">
        <v>70</v>
      </c>
      <c r="K330" s="136" t="s">
        <v>196</v>
      </c>
      <c r="L330" s="467" t="s">
        <v>23</v>
      </c>
      <c r="M330" s="467" t="s">
        <v>37</v>
      </c>
      <c r="N330" s="38">
        <v>0</v>
      </c>
      <c r="O330" s="38"/>
      <c r="P330" s="38">
        <v>0</v>
      </c>
      <c r="Q330" s="38"/>
      <c r="R330" s="38">
        <v>0</v>
      </c>
    </row>
    <row r="331" spans="1:18" s="115" customFormat="1" ht="97.5" customHeight="1">
      <c r="A331" s="37" t="s">
        <v>648</v>
      </c>
      <c r="B331" s="467">
        <v>1604</v>
      </c>
      <c r="C331" s="307" t="s">
        <v>56</v>
      </c>
      <c r="D331" s="308" t="s">
        <v>365</v>
      </c>
      <c r="E331" s="309" t="s">
        <v>145</v>
      </c>
      <c r="F331" s="310" t="s">
        <v>204</v>
      </c>
      <c r="G331" s="311" t="s">
        <v>205</v>
      </c>
      <c r="H331" s="311" t="s">
        <v>206</v>
      </c>
      <c r="I331" s="311" t="s">
        <v>207</v>
      </c>
      <c r="J331" s="311" t="s">
        <v>151</v>
      </c>
      <c r="K331" s="312" t="s">
        <v>208</v>
      </c>
      <c r="L331" s="467" t="s">
        <v>32</v>
      </c>
      <c r="M331" s="467" t="s">
        <v>26</v>
      </c>
      <c r="N331" s="38">
        <v>180.69900000000001</v>
      </c>
      <c r="O331" s="38">
        <v>180.69900000000001</v>
      </c>
      <c r="P331" s="38">
        <v>189.38399999999999</v>
      </c>
      <c r="Q331" s="38">
        <v>189.4</v>
      </c>
      <c r="R331" s="38">
        <v>189.4</v>
      </c>
    </row>
    <row r="332" spans="1:18" s="115" customFormat="1" ht="121.5" customHeight="1">
      <c r="A332" s="37" t="s">
        <v>5</v>
      </c>
      <c r="B332" s="467">
        <v>1700</v>
      </c>
      <c r="C332" s="467" t="s">
        <v>29</v>
      </c>
      <c r="D332" s="467" t="s">
        <v>29</v>
      </c>
      <c r="E332" s="467" t="s">
        <v>29</v>
      </c>
      <c r="F332" s="467" t="s">
        <v>29</v>
      </c>
      <c r="G332" s="467" t="s">
        <v>29</v>
      </c>
      <c r="H332" s="467" t="s">
        <v>29</v>
      </c>
      <c r="I332" s="467" t="s">
        <v>29</v>
      </c>
      <c r="J332" s="467" t="s">
        <v>29</v>
      </c>
      <c r="K332" s="467" t="s">
        <v>29</v>
      </c>
      <c r="L332" s="467"/>
      <c r="M332" s="467"/>
      <c r="N332" s="38">
        <f>N333+N341</f>
        <v>83440.095000000001</v>
      </c>
      <c r="O332" s="38">
        <f>O333+O341</f>
        <v>75798.633000000002</v>
      </c>
      <c r="P332" s="38">
        <f>P333+P341</f>
        <v>81633.436000000016</v>
      </c>
      <c r="Q332" s="38">
        <f>Q333+Q341</f>
        <v>85727.292000000001</v>
      </c>
      <c r="R332" s="38">
        <f>R333+R341</f>
        <v>85787.491999999998</v>
      </c>
    </row>
    <row r="333" spans="1:18" s="115" customFormat="1" ht="24.75" customHeight="1">
      <c r="A333" s="37" t="s">
        <v>649</v>
      </c>
      <c r="B333" s="467">
        <v>1701</v>
      </c>
      <c r="C333" s="467" t="s">
        <v>29</v>
      </c>
      <c r="D333" s="467" t="s">
        <v>29</v>
      </c>
      <c r="E333" s="467" t="s">
        <v>29</v>
      </c>
      <c r="F333" s="467" t="s">
        <v>29</v>
      </c>
      <c r="G333" s="467" t="s">
        <v>29</v>
      </c>
      <c r="H333" s="467" t="s">
        <v>29</v>
      </c>
      <c r="I333" s="467" t="s">
        <v>29</v>
      </c>
      <c r="J333" s="467" t="s">
        <v>29</v>
      </c>
      <c r="K333" s="467" t="s">
        <v>29</v>
      </c>
      <c r="L333" s="467"/>
      <c r="M333" s="467"/>
      <c r="N333" s="38">
        <f>SUM(N335:N337)</f>
        <v>812.6</v>
      </c>
      <c r="O333" s="38">
        <f>SUM(O335:O337)</f>
        <v>581.96899999999994</v>
      </c>
      <c r="P333" s="38">
        <f>SUM(P335:P337)</f>
        <v>1859.2</v>
      </c>
      <c r="Q333" s="38">
        <f t="shared" ref="Q333:R333" si="51">SUM(Q335:Q337)</f>
        <v>1103.5</v>
      </c>
      <c r="R333" s="38">
        <f t="shared" si="51"/>
        <v>1258.7</v>
      </c>
    </row>
    <row r="334" spans="1:18" s="115" customFormat="1" ht="12">
      <c r="A334" s="39" t="s">
        <v>97</v>
      </c>
      <c r="B334" s="40"/>
      <c r="C334" s="40"/>
      <c r="D334" s="40"/>
      <c r="E334" s="40"/>
      <c r="F334" s="40"/>
      <c r="G334" s="40"/>
      <c r="H334" s="40"/>
      <c r="I334" s="40"/>
      <c r="J334" s="40"/>
      <c r="K334" s="40"/>
      <c r="L334" s="457"/>
      <c r="M334" s="457"/>
      <c r="N334" s="38"/>
      <c r="O334" s="38"/>
      <c r="P334" s="38"/>
      <c r="Q334" s="38"/>
      <c r="R334" s="38"/>
    </row>
    <row r="335" spans="1:18" s="116" customFormat="1" ht="12">
      <c r="A335" s="41"/>
      <c r="B335" s="42"/>
      <c r="C335" s="42"/>
      <c r="D335" s="42"/>
      <c r="E335" s="42"/>
      <c r="F335" s="42"/>
      <c r="G335" s="42"/>
      <c r="H335" s="42"/>
      <c r="I335" s="42"/>
      <c r="J335" s="42"/>
      <c r="K335" s="42"/>
      <c r="L335" s="83" t="s">
        <v>32</v>
      </c>
      <c r="M335" s="83" t="s">
        <v>35</v>
      </c>
      <c r="N335" s="62">
        <f>N338</f>
        <v>26</v>
      </c>
      <c r="O335" s="62">
        <f>O338</f>
        <v>7.3</v>
      </c>
      <c r="P335" s="62">
        <f>P338</f>
        <v>17</v>
      </c>
      <c r="Q335" s="62">
        <f t="shared" ref="Q335:R335" si="52">Q338</f>
        <v>18.2</v>
      </c>
      <c r="R335" s="62">
        <f t="shared" si="52"/>
        <v>130</v>
      </c>
    </row>
    <row r="336" spans="1:18" s="116" customFormat="1" ht="12">
      <c r="A336" s="41"/>
      <c r="B336" s="42"/>
      <c r="C336" s="42"/>
      <c r="D336" s="42"/>
      <c r="E336" s="42"/>
      <c r="F336" s="42"/>
      <c r="G336" s="42"/>
      <c r="H336" s="42"/>
      <c r="I336" s="42"/>
      <c r="J336" s="42"/>
      <c r="K336" s="42"/>
      <c r="L336" s="83" t="s">
        <v>32</v>
      </c>
      <c r="M336" s="83" t="s">
        <v>26</v>
      </c>
      <c r="N336" s="62">
        <f t="shared" ref="N336:O336" si="53">N340</f>
        <v>0</v>
      </c>
      <c r="O336" s="62">
        <f t="shared" si="53"/>
        <v>0</v>
      </c>
      <c r="P336" s="62">
        <f>P340</f>
        <v>798.7</v>
      </c>
      <c r="Q336" s="62">
        <f t="shared" ref="Q336:R336" si="54">Q340</f>
        <v>0</v>
      </c>
      <c r="R336" s="62">
        <f t="shared" si="54"/>
        <v>0</v>
      </c>
    </row>
    <row r="337" spans="1:18" s="116" customFormat="1" ht="12">
      <c r="A337" s="41"/>
      <c r="B337" s="42"/>
      <c r="C337" s="42"/>
      <c r="D337" s="42"/>
      <c r="E337" s="42"/>
      <c r="F337" s="42"/>
      <c r="G337" s="42"/>
      <c r="H337" s="42"/>
      <c r="I337" s="42"/>
      <c r="J337" s="42"/>
      <c r="K337" s="42"/>
      <c r="L337" s="83" t="s">
        <v>23</v>
      </c>
      <c r="M337" s="83" t="s">
        <v>37</v>
      </c>
      <c r="N337" s="62">
        <f>N339</f>
        <v>786.6</v>
      </c>
      <c r="O337" s="62">
        <f>O339</f>
        <v>574.66899999999998</v>
      </c>
      <c r="P337" s="62">
        <f>P339</f>
        <v>1043.5</v>
      </c>
      <c r="Q337" s="62">
        <f t="shared" ref="Q337:R337" si="55">Q339</f>
        <v>1085.3</v>
      </c>
      <c r="R337" s="62">
        <f t="shared" si="55"/>
        <v>1128.7</v>
      </c>
    </row>
    <row r="338" spans="1:18" s="114" customFormat="1" ht="192">
      <c r="A338" s="45" t="s">
        <v>1128</v>
      </c>
      <c r="B338" s="459" t="s">
        <v>650</v>
      </c>
      <c r="C338" s="310" t="s">
        <v>209</v>
      </c>
      <c r="D338" s="311" t="s">
        <v>210</v>
      </c>
      <c r="E338" s="313" t="s">
        <v>211</v>
      </c>
      <c r="F338" s="311" t="s">
        <v>212</v>
      </c>
      <c r="G338" s="311" t="s">
        <v>124</v>
      </c>
      <c r="H338" s="311" t="s">
        <v>63</v>
      </c>
      <c r="I338" s="311" t="s">
        <v>213</v>
      </c>
      <c r="J338" s="311" t="s">
        <v>89</v>
      </c>
      <c r="K338" s="312" t="s">
        <v>214</v>
      </c>
      <c r="L338" s="447" t="s">
        <v>32</v>
      </c>
      <c r="M338" s="447" t="s">
        <v>35</v>
      </c>
      <c r="N338" s="20">
        <v>26</v>
      </c>
      <c r="O338" s="20">
        <v>7.3</v>
      </c>
      <c r="P338" s="20">
        <v>17</v>
      </c>
      <c r="Q338" s="20">
        <v>18.2</v>
      </c>
      <c r="R338" s="170">
        <v>130</v>
      </c>
    </row>
    <row r="339" spans="1:18" s="114" customFormat="1" ht="168">
      <c r="A339" s="101" t="s">
        <v>710</v>
      </c>
      <c r="B339" s="497" t="s">
        <v>711</v>
      </c>
      <c r="C339" s="466" t="s">
        <v>240</v>
      </c>
      <c r="D339" s="452" t="s">
        <v>188</v>
      </c>
      <c r="E339" s="452" t="s">
        <v>241</v>
      </c>
      <c r="F339" s="452" t="s">
        <v>242</v>
      </c>
      <c r="G339" s="452" t="s">
        <v>243</v>
      </c>
      <c r="H339" s="452" t="s">
        <v>218</v>
      </c>
      <c r="I339" s="452" t="s">
        <v>415</v>
      </c>
      <c r="J339" s="455" t="s">
        <v>244</v>
      </c>
      <c r="K339" s="320" t="s">
        <v>245</v>
      </c>
      <c r="L339" s="497">
        <v>10</v>
      </c>
      <c r="M339" s="518" t="s">
        <v>37</v>
      </c>
      <c r="N339" s="269">
        <v>786.6</v>
      </c>
      <c r="O339" s="269">
        <v>574.66899999999998</v>
      </c>
      <c r="P339" s="269">
        <v>1043.5</v>
      </c>
      <c r="Q339" s="269">
        <v>1085.3</v>
      </c>
      <c r="R339" s="269">
        <v>1128.7</v>
      </c>
    </row>
    <row r="340" spans="1:18" s="114" customFormat="1" ht="36">
      <c r="A340" s="99" t="s">
        <v>1417</v>
      </c>
      <c r="B340" s="100" t="s">
        <v>1418</v>
      </c>
      <c r="C340" s="472"/>
      <c r="D340" s="472"/>
      <c r="E340" s="472"/>
      <c r="F340" s="472"/>
      <c r="G340" s="472"/>
      <c r="H340" s="472"/>
      <c r="I340" s="472" t="s">
        <v>1270</v>
      </c>
      <c r="J340" s="184"/>
      <c r="K340" s="184"/>
      <c r="L340" s="100" t="s">
        <v>32</v>
      </c>
      <c r="M340" s="100" t="s">
        <v>26</v>
      </c>
      <c r="N340" s="105">
        <v>0</v>
      </c>
      <c r="O340" s="105">
        <v>0</v>
      </c>
      <c r="P340" s="105">
        <v>798.7</v>
      </c>
      <c r="Q340" s="105">
        <v>0</v>
      </c>
      <c r="R340" s="105">
        <v>0</v>
      </c>
    </row>
    <row r="341" spans="1:18" s="115" customFormat="1" ht="36">
      <c r="A341" s="55" t="s">
        <v>651</v>
      </c>
      <c r="B341" s="468">
        <v>1800</v>
      </c>
      <c r="C341" s="264"/>
      <c r="D341" s="264"/>
      <c r="E341" s="265"/>
      <c r="F341" s="264"/>
      <c r="G341" s="264"/>
      <c r="H341" s="264"/>
      <c r="I341" s="264"/>
      <c r="J341" s="264"/>
      <c r="K341" s="264"/>
      <c r="L341" s="468"/>
      <c r="M341" s="468"/>
      <c r="N341" s="56">
        <f>SUM(N343:N351)</f>
        <v>82627.494999999995</v>
      </c>
      <c r="O341" s="56">
        <f>SUM(O343:O351)</f>
        <v>75216.664000000004</v>
      </c>
      <c r="P341" s="56">
        <f>SUM(P343:P351)</f>
        <v>79774.236000000019</v>
      </c>
      <c r="Q341" s="56">
        <f t="shared" ref="Q341:R341" si="56">SUM(Q343:Q351)</f>
        <v>84623.792000000001</v>
      </c>
      <c r="R341" s="56">
        <f t="shared" si="56"/>
        <v>84528.792000000001</v>
      </c>
    </row>
    <row r="342" spans="1:18" s="115" customFormat="1" ht="12">
      <c r="A342" s="39" t="s">
        <v>97</v>
      </c>
      <c r="B342" s="40"/>
      <c r="C342" s="40"/>
      <c r="D342" s="40"/>
      <c r="E342" s="40"/>
      <c r="F342" s="40"/>
      <c r="G342" s="40"/>
      <c r="H342" s="40"/>
      <c r="I342" s="40"/>
      <c r="J342" s="40"/>
      <c r="K342" s="40"/>
      <c r="L342" s="457"/>
      <c r="M342" s="457"/>
      <c r="N342" s="38"/>
      <c r="O342" s="38"/>
      <c r="P342" s="38"/>
      <c r="Q342" s="38"/>
      <c r="R342" s="38"/>
    </row>
    <row r="343" spans="1:18" s="116" customFormat="1" ht="12">
      <c r="A343" s="41"/>
      <c r="B343" s="42"/>
      <c r="C343" s="42"/>
      <c r="D343" s="42"/>
      <c r="E343" s="42"/>
      <c r="F343" s="42"/>
      <c r="G343" s="42"/>
      <c r="H343" s="42"/>
      <c r="I343" s="42"/>
      <c r="J343" s="42"/>
      <c r="K343" s="42"/>
      <c r="L343" s="83" t="s">
        <v>32</v>
      </c>
      <c r="M343" s="83" t="s">
        <v>37</v>
      </c>
      <c r="N343" s="62">
        <f>N353+N367</f>
        <v>11687.2</v>
      </c>
      <c r="O343" s="62">
        <f>O353+O367</f>
        <v>11407.433000000001</v>
      </c>
      <c r="P343" s="62">
        <f>P353+P367</f>
        <v>12441.099999999999</v>
      </c>
      <c r="Q343" s="62">
        <f t="shared" ref="Q343:R343" si="57">Q353+Q367</f>
        <v>12441.099999999999</v>
      </c>
      <c r="R343" s="62">
        <f t="shared" si="57"/>
        <v>12441.099999999999</v>
      </c>
    </row>
    <row r="344" spans="1:18" s="116" customFormat="1" ht="12">
      <c r="A344" s="41"/>
      <c r="B344" s="42"/>
      <c r="C344" s="42"/>
      <c r="D344" s="42"/>
      <c r="E344" s="42"/>
      <c r="F344" s="42"/>
      <c r="G344" s="42"/>
      <c r="H344" s="42"/>
      <c r="I344" s="42"/>
      <c r="J344" s="42"/>
      <c r="K344" s="42"/>
      <c r="L344" s="83" t="s">
        <v>37</v>
      </c>
      <c r="M344" s="83" t="s">
        <v>32</v>
      </c>
      <c r="N344" s="62">
        <f>N360+N374</f>
        <v>205.5</v>
      </c>
      <c r="O344" s="62">
        <f>O360+O374</f>
        <v>120.86199999999999</v>
      </c>
      <c r="P344" s="62">
        <f>P360+P374</f>
        <v>212</v>
      </c>
      <c r="Q344" s="62">
        <f t="shared" ref="Q344:R344" si="58">Q360+Q374</f>
        <v>212</v>
      </c>
      <c r="R344" s="62">
        <f t="shared" si="58"/>
        <v>212</v>
      </c>
    </row>
    <row r="345" spans="1:18" s="116" customFormat="1" ht="12">
      <c r="A345" s="41"/>
      <c r="B345" s="42"/>
      <c r="C345" s="42"/>
      <c r="D345" s="42"/>
      <c r="E345" s="42"/>
      <c r="F345" s="42"/>
      <c r="G345" s="42"/>
      <c r="H345" s="42"/>
      <c r="I345" s="42"/>
      <c r="J345" s="42"/>
      <c r="K345" s="42"/>
      <c r="L345" s="83" t="s">
        <v>37</v>
      </c>
      <c r="M345" s="83" t="s">
        <v>35</v>
      </c>
      <c r="N345" s="62">
        <f t="shared" ref="N345:O345" si="59">N361+N375+N378+N380+N389</f>
        <v>8181.741</v>
      </c>
      <c r="O345" s="62">
        <f t="shared" si="59"/>
        <v>8140.0110000000004</v>
      </c>
      <c r="P345" s="62">
        <f>P361+P375+P378+P380+P389</f>
        <v>12878.5</v>
      </c>
      <c r="Q345" s="62">
        <f t="shared" ref="Q345:R345" si="60">Q361+Q375+Q378+Q380+Q389</f>
        <v>12377.356000000002</v>
      </c>
      <c r="R345" s="62">
        <f t="shared" si="60"/>
        <v>12357.156000000001</v>
      </c>
    </row>
    <row r="346" spans="1:18" s="116" customFormat="1" ht="12">
      <c r="A346" s="41"/>
      <c r="B346" s="42"/>
      <c r="C346" s="42"/>
      <c r="D346" s="42"/>
      <c r="E346" s="42"/>
      <c r="F346" s="42"/>
      <c r="G346" s="42"/>
      <c r="H346" s="42"/>
      <c r="I346" s="42"/>
      <c r="J346" s="42"/>
      <c r="K346" s="42"/>
      <c r="L346" s="83" t="s">
        <v>43</v>
      </c>
      <c r="M346" s="83" t="s">
        <v>32</v>
      </c>
      <c r="N346" s="62">
        <f>N381+N386+N390+N391</f>
        <v>1007.1000000000001</v>
      </c>
      <c r="O346" s="62">
        <f>O381+O386+O390+O391</f>
        <v>1007.1000000000001</v>
      </c>
      <c r="P346" s="62">
        <f>P381+P386+P390+P391</f>
        <v>929.5440000000001</v>
      </c>
      <c r="Q346" s="62">
        <f t="shared" ref="Q346:R346" si="61">Q381+Q386+Q390+Q391</f>
        <v>972.84400000000005</v>
      </c>
      <c r="R346" s="62">
        <f t="shared" si="61"/>
        <v>972.84400000000005</v>
      </c>
    </row>
    <row r="347" spans="1:18" s="116" customFormat="1" ht="12">
      <c r="A347" s="41"/>
      <c r="B347" s="42"/>
      <c r="C347" s="42"/>
      <c r="D347" s="42"/>
      <c r="E347" s="42"/>
      <c r="F347" s="42"/>
      <c r="G347" s="42"/>
      <c r="H347" s="42"/>
      <c r="I347" s="42"/>
      <c r="J347" s="42"/>
      <c r="K347" s="42"/>
      <c r="L347" s="83" t="s">
        <v>43</v>
      </c>
      <c r="M347" s="83" t="s">
        <v>36</v>
      </c>
      <c r="N347" s="62">
        <f>N382+N387+N392</f>
        <v>13749.056</v>
      </c>
      <c r="O347" s="62">
        <f>O382+O387+O392</f>
        <v>13060.865000000002</v>
      </c>
      <c r="P347" s="62">
        <f>P382+P387+P392</f>
        <v>15503.008</v>
      </c>
      <c r="Q347" s="62">
        <f t="shared" ref="Q347:R347" si="62">Q382+Q387+Q392</f>
        <v>17081.807999999997</v>
      </c>
      <c r="R347" s="62">
        <f t="shared" si="62"/>
        <v>17081.807999999997</v>
      </c>
    </row>
    <row r="348" spans="1:18" s="116" customFormat="1" ht="12">
      <c r="A348" s="41"/>
      <c r="B348" s="42"/>
      <c r="C348" s="42"/>
      <c r="D348" s="42"/>
      <c r="E348" s="42"/>
      <c r="F348" s="42"/>
      <c r="G348" s="42"/>
      <c r="H348" s="42"/>
      <c r="I348" s="42"/>
      <c r="J348" s="42"/>
      <c r="K348" s="42"/>
      <c r="L348" s="83" t="s">
        <v>43</v>
      </c>
      <c r="M348" s="83" t="s">
        <v>41</v>
      </c>
      <c r="N348" s="62">
        <f>N383</f>
        <v>52.08</v>
      </c>
      <c r="O348" s="62">
        <f>O383</f>
        <v>52.08</v>
      </c>
      <c r="P348" s="62">
        <f>P383</f>
        <v>31.248000000000001</v>
      </c>
      <c r="Q348" s="62">
        <f t="shared" ref="Q348:R348" si="63">Q383</f>
        <v>31.248000000000001</v>
      </c>
      <c r="R348" s="62">
        <f t="shared" si="63"/>
        <v>31.248000000000001</v>
      </c>
    </row>
    <row r="349" spans="1:18" s="116" customFormat="1" ht="12">
      <c r="A349" s="41"/>
      <c r="B349" s="42"/>
      <c r="C349" s="42"/>
      <c r="D349" s="42"/>
      <c r="E349" s="42"/>
      <c r="F349" s="42"/>
      <c r="G349" s="42"/>
      <c r="H349" s="42"/>
      <c r="I349" s="42"/>
      <c r="J349" s="42"/>
      <c r="K349" s="42"/>
      <c r="L349" s="83" t="s">
        <v>43</v>
      </c>
      <c r="M349" s="83" t="s">
        <v>35</v>
      </c>
      <c r="N349" s="62"/>
      <c r="O349" s="62"/>
      <c r="P349" s="62">
        <f>P363</f>
        <v>40</v>
      </c>
      <c r="Q349" s="62">
        <f t="shared" ref="Q349:R349" si="64">Q363</f>
        <v>40</v>
      </c>
      <c r="R349" s="62">
        <f t="shared" si="64"/>
        <v>40</v>
      </c>
    </row>
    <row r="350" spans="1:18" s="116" customFormat="1" ht="12">
      <c r="A350" s="41"/>
      <c r="B350" s="42"/>
      <c r="C350" s="42"/>
      <c r="D350" s="42"/>
      <c r="E350" s="42"/>
      <c r="F350" s="42"/>
      <c r="G350" s="42"/>
      <c r="H350" s="42"/>
      <c r="I350" s="42"/>
      <c r="J350" s="42"/>
      <c r="K350" s="42"/>
      <c r="L350" s="83" t="s">
        <v>23</v>
      </c>
      <c r="M350" s="83" t="s">
        <v>37</v>
      </c>
      <c r="N350" s="62">
        <f t="shared" ref="N350:O350" si="65">N364+N388+N385</f>
        <v>47726.118000000002</v>
      </c>
      <c r="O350" s="62">
        <f t="shared" si="65"/>
        <v>41409.613000000005</v>
      </c>
      <c r="P350" s="62">
        <f>P364+P388+P385</f>
        <v>37719.441000000006</v>
      </c>
      <c r="Q350" s="62">
        <f t="shared" ref="Q350:R350" si="66">Q364+Q388+Q385</f>
        <v>41448.041000000005</v>
      </c>
      <c r="R350" s="62">
        <f t="shared" si="66"/>
        <v>41373.241000000002</v>
      </c>
    </row>
    <row r="351" spans="1:18" s="116" customFormat="1" ht="12">
      <c r="A351" s="41"/>
      <c r="B351" s="42"/>
      <c r="C351" s="42"/>
      <c r="D351" s="42"/>
      <c r="E351" s="42"/>
      <c r="F351" s="42"/>
      <c r="G351" s="42"/>
      <c r="H351" s="42"/>
      <c r="I351" s="42"/>
      <c r="J351" s="42"/>
      <c r="K351" s="42"/>
      <c r="L351" s="83" t="s">
        <v>23</v>
      </c>
      <c r="M351" s="83" t="s">
        <v>33</v>
      </c>
      <c r="N351" s="62">
        <f t="shared" ref="N351:O351" si="67">N365+N377</f>
        <v>18.7</v>
      </c>
      <c r="O351" s="62">
        <f t="shared" si="67"/>
        <v>18.7</v>
      </c>
      <c r="P351" s="62">
        <f>P365+P377</f>
        <v>19.395</v>
      </c>
      <c r="Q351" s="62">
        <f t="shared" ref="Q351:R351" si="68">Q365+Q377</f>
        <v>19.395</v>
      </c>
      <c r="R351" s="62">
        <f t="shared" si="68"/>
        <v>19.395</v>
      </c>
    </row>
    <row r="352" spans="1:18" s="114" customFormat="1" ht="14.25" customHeight="1">
      <c r="A352" s="556" t="s">
        <v>712</v>
      </c>
      <c r="B352" s="491">
        <v>1801</v>
      </c>
      <c r="C352" s="472"/>
      <c r="D352" s="472"/>
      <c r="E352" s="184"/>
      <c r="F352" s="472"/>
      <c r="G352" s="472"/>
      <c r="H352" s="472"/>
      <c r="I352" s="472"/>
      <c r="J352" s="472"/>
      <c r="K352" s="472"/>
      <c r="L352" s="491"/>
      <c r="M352" s="491"/>
      <c r="N352" s="105">
        <f>SUM(N353:N365)</f>
        <v>4166.2160000000003</v>
      </c>
      <c r="O352" s="105">
        <f>SUM(O353:O365)</f>
        <v>3969.2939999999999</v>
      </c>
      <c r="P352" s="105">
        <f>SUM(P353:P365)</f>
        <v>4437.2050000000008</v>
      </c>
      <c r="Q352" s="105">
        <f>SUM(Q353:Q365)</f>
        <v>4442.7610000000004</v>
      </c>
      <c r="R352" s="105">
        <f>SUM(R353:R365)</f>
        <v>4442.7610000000004</v>
      </c>
    </row>
    <row r="353" spans="1:18" s="217" customFormat="1" ht="108.75" customHeight="1">
      <c r="A353" s="557"/>
      <c r="B353" s="509" t="s">
        <v>715</v>
      </c>
      <c r="C353" s="452" t="s">
        <v>215</v>
      </c>
      <c r="D353" s="452" t="s">
        <v>816</v>
      </c>
      <c r="E353" s="452" t="s">
        <v>216</v>
      </c>
      <c r="F353" s="452" t="s">
        <v>217</v>
      </c>
      <c r="G353" s="452" t="s">
        <v>817</v>
      </c>
      <c r="H353" s="452" t="s">
        <v>218</v>
      </c>
      <c r="I353" s="452" t="s">
        <v>219</v>
      </c>
      <c r="J353" s="455" t="s">
        <v>220</v>
      </c>
      <c r="K353" s="455" t="s">
        <v>221</v>
      </c>
      <c r="L353" s="215" t="s">
        <v>32</v>
      </c>
      <c r="M353" s="215" t="s">
        <v>37</v>
      </c>
      <c r="N353" s="216">
        <v>3536.703</v>
      </c>
      <c r="O353" s="216">
        <v>3373.797</v>
      </c>
      <c r="P353" s="216">
        <v>3746.6480000000001</v>
      </c>
      <c r="Q353" s="216">
        <v>3746.6480000000001</v>
      </c>
      <c r="R353" s="216">
        <v>3746.6480000000001</v>
      </c>
    </row>
    <row r="354" spans="1:18" s="217" customFormat="1" ht="96.75" customHeight="1">
      <c r="A354" s="283"/>
      <c r="B354" s="518" t="s">
        <v>716</v>
      </c>
      <c r="C354" s="442" t="s">
        <v>258</v>
      </c>
      <c r="D354" s="442" t="s">
        <v>259</v>
      </c>
      <c r="E354" s="442" t="s">
        <v>260</v>
      </c>
      <c r="F354" s="442" t="s">
        <v>261</v>
      </c>
      <c r="G354" s="442" t="s">
        <v>262</v>
      </c>
      <c r="H354" s="454" t="s">
        <v>255</v>
      </c>
      <c r="I354" s="472" t="s">
        <v>263</v>
      </c>
      <c r="J354" s="472" t="s">
        <v>89</v>
      </c>
      <c r="K354" s="442" t="s">
        <v>264</v>
      </c>
      <c r="L354" s="215"/>
      <c r="M354" s="215"/>
      <c r="N354" s="216"/>
      <c r="O354" s="216"/>
      <c r="P354" s="216"/>
      <c r="Q354" s="216"/>
      <c r="R354" s="216"/>
    </row>
    <row r="355" spans="1:18" s="217" customFormat="1" ht="120">
      <c r="A355" s="283"/>
      <c r="B355" s="218"/>
      <c r="C355" s="442" t="s">
        <v>265</v>
      </c>
      <c r="D355" s="442" t="s">
        <v>266</v>
      </c>
      <c r="E355" s="442" t="s">
        <v>267</v>
      </c>
      <c r="F355" s="442" t="s">
        <v>268</v>
      </c>
      <c r="G355" s="442" t="s">
        <v>269</v>
      </c>
      <c r="H355" s="442" t="s">
        <v>270</v>
      </c>
      <c r="I355" s="472" t="s">
        <v>271</v>
      </c>
      <c r="J355" s="472" t="s">
        <v>89</v>
      </c>
      <c r="K355" s="472" t="s">
        <v>272</v>
      </c>
      <c r="L355" s="215"/>
      <c r="M355" s="215"/>
      <c r="N355" s="216"/>
      <c r="O355" s="216"/>
      <c r="P355" s="216"/>
      <c r="Q355" s="216"/>
      <c r="R355" s="216"/>
    </row>
    <row r="356" spans="1:18" s="217" customFormat="1" ht="108" customHeight="1">
      <c r="A356" s="283"/>
      <c r="B356" s="100" t="s">
        <v>717</v>
      </c>
      <c r="C356" s="442" t="s">
        <v>192</v>
      </c>
      <c r="D356" s="442" t="s">
        <v>234</v>
      </c>
      <c r="E356" s="442" t="s">
        <v>273</v>
      </c>
      <c r="F356" s="442" t="s">
        <v>274</v>
      </c>
      <c r="G356" s="442" t="s">
        <v>1323</v>
      </c>
      <c r="H356" s="442" t="s">
        <v>275</v>
      </c>
      <c r="I356" s="442" t="s">
        <v>238</v>
      </c>
      <c r="J356" s="442" t="s">
        <v>89</v>
      </c>
      <c r="K356" s="442" t="s">
        <v>276</v>
      </c>
      <c r="L356" s="215"/>
      <c r="M356" s="215"/>
      <c r="N356" s="216"/>
      <c r="O356" s="216"/>
      <c r="P356" s="216"/>
      <c r="Q356" s="216"/>
      <c r="R356" s="216"/>
    </row>
    <row r="357" spans="1:18" s="217" customFormat="1" ht="132.75" customHeight="1">
      <c r="A357" s="283"/>
      <c r="B357" s="100" t="s">
        <v>718</v>
      </c>
      <c r="C357" s="447" t="s">
        <v>434</v>
      </c>
      <c r="D357" s="52" t="s">
        <v>435</v>
      </c>
      <c r="E357" s="447" t="s">
        <v>436</v>
      </c>
      <c r="F357" s="442" t="s">
        <v>277</v>
      </c>
      <c r="G357" s="442" t="s">
        <v>278</v>
      </c>
      <c r="H357" s="454" t="s">
        <v>255</v>
      </c>
      <c r="I357" s="442" t="s">
        <v>279</v>
      </c>
      <c r="J357" s="454" t="s">
        <v>89</v>
      </c>
      <c r="K357" s="454" t="s">
        <v>280</v>
      </c>
      <c r="L357" s="215"/>
      <c r="M357" s="215"/>
      <c r="N357" s="216"/>
      <c r="O357" s="216"/>
      <c r="P357" s="216"/>
      <c r="Q357" s="216"/>
      <c r="R357" s="216"/>
    </row>
    <row r="358" spans="1:18" s="217" customFormat="1" ht="181.5" customHeight="1">
      <c r="A358" s="283"/>
      <c r="B358" s="100" t="s">
        <v>719</v>
      </c>
      <c r="C358" s="442" t="s">
        <v>291</v>
      </c>
      <c r="D358" s="442" t="s">
        <v>846</v>
      </c>
      <c r="E358" s="442" t="s">
        <v>292</v>
      </c>
      <c r="F358" s="472" t="s">
        <v>293</v>
      </c>
      <c r="G358" s="472" t="s">
        <v>294</v>
      </c>
      <c r="H358" s="184" t="s">
        <v>295</v>
      </c>
      <c r="I358" s="472" t="s">
        <v>847</v>
      </c>
      <c r="J358" s="184" t="s">
        <v>296</v>
      </c>
      <c r="K358" s="185" t="s">
        <v>297</v>
      </c>
      <c r="L358" s="215"/>
      <c r="M358" s="215"/>
      <c r="N358" s="216"/>
      <c r="O358" s="216"/>
      <c r="P358" s="216"/>
      <c r="Q358" s="216"/>
      <c r="R358" s="216"/>
    </row>
    <row r="359" spans="1:18" s="217" customFormat="1" ht="155.25" customHeight="1">
      <c r="A359" s="283"/>
      <c r="B359" s="100" t="s">
        <v>720</v>
      </c>
      <c r="C359" s="442" t="s">
        <v>302</v>
      </c>
      <c r="D359" s="442" t="s">
        <v>303</v>
      </c>
      <c r="E359" s="454" t="s">
        <v>304</v>
      </c>
      <c r="F359" s="442" t="s">
        <v>305</v>
      </c>
      <c r="G359" s="442" t="s">
        <v>248</v>
      </c>
      <c r="H359" s="442" t="s">
        <v>306</v>
      </c>
      <c r="I359" s="442" t="s">
        <v>307</v>
      </c>
      <c r="J359" s="440" t="s">
        <v>223</v>
      </c>
      <c r="K359" s="440" t="s">
        <v>308</v>
      </c>
      <c r="L359" s="215"/>
      <c r="M359" s="215"/>
      <c r="N359" s="216"/>
      <c r="O359" s="216"/>
      <c r="P359" s="216"/>
      <c r="Q359" s="216"/>
      <c r="R359" s="216"/>
    </row>
    <row r="360" spans="1:18" s="217" customFormat="1" ht="107.25" customHeight="1">
      <c r="A360" s="283"/>
      <c r="B360" s="100" t="s">
        <v>721</v>
      </c>
      <c r="C360" s="310" t="s">
        <v>1326</v>
      </c>
      <c r="D360" s="311" t="s">
        <v>1324</v>
      </c>
      <c r="E360" s="311" t="s">
        <v>1325</v>
      </c>
      <c r="F360" s="311" t="s">
        <v>281</v>
      </c>
      <c r="G360" s="311" t="s">
        <v>248</v>
      </c>
      <c r="H360" s="311" t="s">
        <v>249</v>
      </c>
      <c r="I360" s="318" t="s">
        <v>282</v>
      </c>
      <c r="J360" s="318" t="s">
        <v>68</v>
      </c>
      <c r="K360" s="319" t="s">
        <v>283</v>
      </c>
      <c r="L360" s="215" t="s">
        <v>37</v>
      </c>
      <c r="M360" s="215" t="s">
        <v>32</v>
      </c>
      <c r="N360" s="216">
        <v>49.356000000000002</v>
      </c>
      <c r="O360" s="216">
        <v>29.722999999999999</v>
      </c>
      <c r="P360" s="216">
        <v>50.863</v>
      </c>
      <c r="Q360" s="216">
        <v>50.863</v>
      </c>
      <c r="R360" s="216">
        <v>50.863</v>
      </c>
    </row>
    <row r="361" spans="1:18" s="217" customFormat="1" ht="132">
      <c r="A361" s="283"/>
      <c r="B361" s="215"/>
      <c r="C361" s="316" t="s">
        <v>429</v>
      </c>
      <c r="D361" s="316" t="s">
        <v>430</v>
      </c>
      <c r="E361" s="316" t="s">
        <v>431</v>
      </c>
      <c r="F361" s="316" t="s">
        <v>432</v>
      </c>
      <c r="G361" s="316" t="s">
        <v>433</v>
      </c>
      <c r="H361" s="316" t="s">
        <v>60</v>
      </c>
      <c r="I361" s="316" t="s">
        <v>413</v>
      </c>
      <c r="J361" s="317" t="s">
        <v>70</v>
      </c>
      <c r="K361" s="317" t="s">
        <v>414</v>
      </c>
      <c r="L361" s="215" t="s">
        <v>37</v>
      </c>
      <c r="M361" s="215" t="s">
        <v>35</v>
      </c>
      <c r="N361" s="216">
        <f>559.832+12.896</f>
        <v>572.72799999999995</v>
      </c>
      <c r="O361" s="216">
        <f>545.449+12.896</f>
        <v>558.34499999999991</v>
      </c>
      <c r="P361" s="216">
        <f>579.104+12.94</f>
        <v>592.0440000000001</v>
      </c>
      <c r="Q361" s="216">
        <v>597.6</v>
      </c>
      <c r="R361" s="216">
        <v>597.6</v>
      </c>
    </row>
    <row r="362" spans="1:18" s="217" customFormat="1" ht="97.5" customHeight="1">
      <c r="A362" s="283"/>
      <c r="B362" s="215"/>
      <c r="C362" s="477" t="s">
        <v>284</v>
      </c>
      <c r="D362" s="477" t="s">
        <v>285</v>
      </c>
      <c r="E362" s="516" t="s">
        <v>286</v>
      </c>
      <c r="F362" s="477" t="s">
        <v>287</v>
      </c>
      <c r="G362" s="477" t="s">
        <v>262</v>
      </c>
      <c r="H362" s="477" t="s">
        <v>799</v>
      </c>
      <c r="I362" s="477" t="s">
        <v>800</v>
      </c>
      <c r="J362" s="516" t="s">
        <v>89</v>
      </c>
      <c r="K362" s="516" t="s">
        <v>290</v>
      </c>
      <c r="L362" s="215"/>
      <c r="M362" s="215"/>
      <c r="N362" s="216"/>
      <c r="O362" s="216"/>
      <c r="P362" s="216"/>
      <c r="Q362" s="216"/>
      <c r="R362" s="216"/>
    </row>
    <row r="363" spans="1:18" s="114" customFormat="1" ht="120" customHeight="1">
      <c r="A363" s="54"/>
      <c r="B363" s="518" t="s">
        <v>1129</v>
      </c>
      <c r="C363" s="442" t="s">
        <v>192</v>
      </c>
      <c r="D363" s="442" t="s">
        <v>234</v>
      </c>
      <c r="E363" s="442" t="s">
        <v>273</v>
      </c>
      <c r="F363" s="442" t="s">
        <v>274</v>
      </c>
      <c r="G363" s="442" t="s">
        <v>124</v>
      </c>
      <c r="H363" s="442" t="s">
        <v>275</v>
      </c>
      <c r="I363" s="442" t="s">
        <v>238</v>
      </c>
      <c r="J363" s="442" t="s">
        <v>89</v>
      </c>
      <c r="K363" s="442" t="s">
        <v>276</v>
      </c>
      <c r="L363" s="389" t="s">
        <v>43</v>
      </c>
      <c r="M363" s="215" t="s">
        <v>35</v>
      </c>
      <c r="N363" s="216"/>
      <c r="O363" s="216"/>
      <c r="P363" s="216">
        <v>40</v>
      </c>
      <c r="Q363" s="216">
        <v>40</v>
      </c>
      <c r="R363" s="216">
        <v>40</v>
      </c>
    </row>
    <row r="364" spans="1:18" s="114" customFormat="1" ht="77.25" customHeight="1">
      <c r="A364" s="54"/>
      <c r="B364" s="581" t="s">
        <v>1130</v>
      </c>
      <c r="C364" s="543" t="s">
        <v>192</v>
      </c>
      <c r="D364" s="543" t="s">
        <v>234</v>
      </c>
      <c r="E364" s="543" t="s">
        <v>194</v>
      </c>
      <c r="F364" s="543" t="s">
        <v>235</v>
      </c>
      <c r="G364" s="543" t="s">
        <v>236</v>
      </c>
      <c r="H364" s="543" t="s">
        <v>237</v>
      </c>
      <c r="I364" s="543" t="s">
        <v>238</v>
      </c>
      <c r="J364" s="543" t="s">
        <v>89</v>
      </c>
      <c r="K364" s="543" t="s">
        <v>239</v>
      </c>
      <c r="L364" s="389" t="s">
        <v>23</v>
      </c>
      <c r="M364" s="215" t="s">
        <v>37</v>
      </c>
      <c r="N364" s="216">
        <v>1.8</v>
      </c>
      <c r="O364" s="216">
        <v>1.8</v>
      </c>
      <c r="P364" s="216">
        <v>1.8</v>
      </c>
      <c r="Q364" s="216">
        <v>1.8</v>
      </c>
      <c r="R364" s="216">
        <v>1.8</v>
      </c>
    </row>
    <row r="365" spans="1:18" s="217" customFormat="1" ht="77.25" customHeight="1">
      <c r="A365" s="284"/>
      <c r="B365" s="582"/>
      <c r="C365" s="544"/>
      <c r="D365" s="544"/>
      <c r="E365" s="544"/>
      <c r="F365" s="544"/>
      <c r="G365" s="544"/>
      <c r="H365" s="544"/>
      <c r="I365" s="544"/>
      <c r="J365" s="544"/>
      <c r="K365" s="544"/>
      <c r="L365" s="389" t="s">
        <v>23</v>
      </c>
      <c r="M365" s="215" t="s">
        <v>33</v>
      </c>
      <c r="N365" s="216">
        <v>5.6289999999999996</v>
      </c>
      <c r="O365" s="216">
        <v>5.6289999999999996</v>
      </c>
      <c r="P365" s="216">
        <v>5.85</v>
      </c>
      <c r="Q365" s="216">
        <v>5.85</v>
      </c>
      <c r="R365" s="216">
        <v>5.85</v>
      </c>
    </row>
    <row r="366" spans="1:18" s="114" customFormat="1" ht="14.25" customHeight="1">
      <c r="A366" s="583" t="s">
        <v>713</v>
      </c>
      <c r="B366" s="491">
        <v>1802</v>
      </c>
      <c r="C366" s="472"/>
      <c r="D366" s="472"/>
      <c r="E366" s="184"/>
      <c r="F366" s="472"/>
      <c r="G366" s="472"/>
      <c r="H366" s="472"/>
      <c r="I366" s="472"/>
      <c r="J366" s="472"/>
      <c r="K366" s="472"/>
      <c r="L366" s="491"/>
      <c r="M366" s="491"/>
      <c r="N366" s="105">
        <f>SUM(N367:N377)</f>
        <v>9662.2839999999997</v>
      </c>
      <c r="O366" s="105">
        <f>SUM(O367:O377)</f>
        <v>9453.0879999999997</v>
      </c>
      <c r="P366" s="105">
        <f>SUM(P367:P377)</f>
        <v>10251.89</v>
      </c>
      <c r="Q366" s="105">
        <f>SUM(Q367:Q377)</f>
        <v>10251.89</v>
      </c>
      <c r="R366" s="105">
        <f>SUM(R367:R377)</f>
        <v>10251.89</v>
      </c>
    </row>
    <row r="367" spans="1:18" s="217" customFormat="1" ht="118.5" customHeight="1">
      <c r="A367" s="557"/>
      <c r="B367" s="509" t="s">
        <v>715</v>
      </c>
      <c r="C367" s="452" t="s">
        <v>215</v>
      </c>
      <c r="D367" s="452" t="s">
        <v>816</v>
      </c>
      <c r="E367" s="452" t="s">
        <v>216</v>
      </c>
      <c r="F367" s="452" t="s">
        <v>217</v>
      </c>
      <c r="G367" s="452" t="s">
        <v>817</v>
      </c>
      <c r="H367" s="452" t="s">
        <v>218</v>
      </c>
      <c r="I367" s="452" t="s">
        <v>219</v>
      </c>
      <c r="J367" s="455" t="s">
        <v>220</v>
      </c>
      <c r="K367" s="455" t="s">
        <v>221</v>
      </c>
      <c r="L367" s="215" t="s">
        <v>32</v>
      </c>
      <c r="M367" s="215" t="s">
        <v>37</v>
      </c>
      <c r="N367" s="216">
        <v>8150.4970000000003</v>
      </c>
      <c r="O367" s="216">
        <v>8033.6360000000004</v>
      </c>
      <c r="P367" s="216">
        <v>8694.4519999999993</v>
      </c>
      <c r="Q367" s="216">
        <v>8694.4519999999993</v>
      </c>
      <c r="R367" s="216">
        <v>8694.4519999999993</v>
      </c>
    </row>
    <row r="368" spans="1:18" s="217" customFormat="1" ht="96" customHeight="1">
      <c r="A368" s="283"/>
      <c r="B368" s="518" t="s">
        <v>716</v>
      </c>
      <c r="C368" s="442" t="s">
        <v>258</v>
      </c>
      <c r="D368" s="442" t="s">
        <v>259</v>
      </c>
      <c r="E368" s="442" t="s">
        <v>260</v>
      </c>
      <c r="F368" s="442" t="s">
        <v>261</v>
      </c>
      <c r="G368" s="442" t="s">
        <v>262</v>
      </c>
      <c r="H368" s="454" t="s">
        <v>255</v>
      </c>
      <c r="I368" s="472" t="s">
        <v>263</v>
      </c>
      <c r="J368" s="472" t="s">
        <v>89</v>
      </c>
      <c r="K368" s="442" t="s">
        <v>264</v>
      </c>
      <c r="L368" s="46"/>
      <c r="M368" s="46"/>
      <c r="N368" s="216"/>
      <c r="O368" s="216"/>
      <c r="P368" s="216"/>
      <c r="Q368" s="216"/>
      <c r="R368" s="216"/>
    </row>
    <row r="369" spans="1:18" s="217" customFormat="1" ht="110.25" customHeight="1">
      <c r="A369" s="283"/>
      <c r="B369" s="218"/>
      <c r="C369" s="442" t="s">
        <v>265</v>
      </c>
      <c r="D369" s="442" t="s">
        <v>266</v>
      </c>
      <c r="E369" s="442" t="s">
        <v>267</v>
      </c>
      <c r="F369" s="442" t="s">
        <v>268</v>
      </c>
      <c r="G369" s="442" t="s">
        <v>269</v>
      </c>
      <c r="H369" s="442" t="s">
        <v>270</v>
      </c>
      <c r="I369" s="472" t="s">
        <v>271</v>
      </c>
      <c r="J369" s="472" t="s">
        <v>89</v>
      </c>
      <c r="K369" s="472" t="s">
        <v>272</v>
      </c>
      <c r="L369" s="215"/>
      <c r="M369" s="215"/>
      <c r="N369" s="216"/>
      <c r="O369" s="216"/>
      <c r="P369" s="216"/>
      <c r="Q369" s="216"/>
      <c r="R369" s="216"/>
    </row>
    <row r="370" spans="1:18" s="217" customFormat="1" ht="108.75" customHeight="1">
      <c r="A370" s="283"/>
      <c r="B370" s="100" t="s">
        <v>717</v>
      </c>
      <c r="C370" s="442" t="s">
        <v>192</v>
      </c>
      <c r="D370" s="442" t="s">
        <v>234</v>
      </c>
      <c r="E370" s="442" t="s">
        <v>273</v>
      </c>
      <c r="F370" s="442" t="s">
        <v>274</v>
      </c>
      <c r="G370" s="442" t="s">
        <v>124</v>
      </c>
      <c r="H370" s="442" t="s">
        <v>275</v>
      </c>
      <c r="I370" s="442" t="s">
        <v>238</v>
      </c>
      <c r="J370" s="442" t="s">
        <v>89</v>
      </c>
      <c r="K370" s="442" t="s">
        <v>276</v>
      </c>
      <c r="L370" s="215"/>
      <c r="M370" s="215"/>
      <c r="N370" s="216"/>
      <c r="O370" s="216"/>
      <c r="P370" s="216"/>
      <c r="Q370" s="216"/>
      <c r="R370" s="216"/>
    </row>
    <row r="371" spans="1:18" s="217" customFormat="1" ht="144.75" customHeight="1">
      <c r="A371" s="283"/>
      <c r="B371" s="100" t="s">
        <v>718</v>
      </c>
      <c r="C371" s="447" t="s">
        <v>434</v>
      </c>
      <c r="D371" s="52" t="s">
        <v>435</v>
      </c>
      <c r="E371" s="447" t="s">
        <v>436</v>
      </c>
      <c r="F371" s="442" t="s">
        <v>277</v>
      </c>
      <c r="G371" s="442" t="s">
        <v>278</v>
      </c>
      <c r="H371" s="454" t="s">
        <v>255</v>
      </c>
      <c r="I371" s="442" t="s">
        <v>279</v>
      </c>
      <c r="J371" s="454" t="s">
        <v>89</v>
      </c>
      <c r="K371" s="454" t="s">
        <v>280</v>
      </c>
      <c r="L371" s="215"/>
      <c r="M371" s="215"/>
      <c r="N371" s="216"/>
      <c r="O371" s="216"/>
      <c r="P371" s="216"/>
      <c r="Q371" s="216"/>
      <c r="R371" s="216"/>
    </row>
    <row r="372" spans="1:18" s="217" customFormat="1" ht="180" customHeight="1">
      <c r="A372" s="283"/>
      <c r="B372" s="100" t="s">
        <v>719</v>
      </c>
      <c r="C372" s="442" t="s">
        <v>291</v>
      </c>
      <c r="D372" s="442" t="s">
        <v>846</v>
      </c>
      <c r="E372" s="442" t="s">
        <v>292</v>
      </c>
      <c r="F372" s="472" t="s">
        <v>293</v>
      </c>
      <c r="G372" s="472" t="s">
        <v>294</v>
      </c>
      <c r="H372" s="184" t="s">
        <v>295</v>
      </c>
      <c r="I372" s="472" t="s">
        <v>847</v>
      </c>
      <c r="J372" s="184" t="s">
        <v>296</v>
      </c>
      <c r="K372" s="185" t="s">
        <v>297</v>
      </c>
      <c r="L372" s="215"/>
      <c r="M372" s="215"/>
      <c r="N372" s="216"/>
      <c r="O372" s="216"/>
      <c r="P372" s="216"/>
      <c r="Q372" s="216"/>
      <c r="R372" s="216"/>
    </row>
    <row r="373" spans="1:18" s="217" customFormat="1" ht="156.75" customHeight="1">
      <c r="A373" s="283"/>
      <c r="B373" s="100" t="s">
        <v>720</v>
      </c>
      <c r="C373" s="442" t="s">
        <v>302</v>
      </c>
      <c r="D373" s="442" t="s">
        <v>303</v>
      </c>
      <c r="E373" s="454" t="s">
        <v>304</v>
      </c>
      <c r="F373" s="442" t="s">
        <v>305</v>
      </c>
      <c r="G373" s="442" t="s">
        <v>845</v>
      </c>
      <c r="H373" s="442" t="s">
        <v>306</v>
      </c>
      <c r="I373" s="442" t="s">
        <v>1327</v>
      </c>
      <c r="J373" s="440" t="s">
        <v>223</v>
      </c>
      <c r="K373" s="440" t="s">
        <v>308</v>
      </c>
      <c r="L373" s="215"/>
      <c r="M373" s="215"/>
      <c r="N373" s="216"/>
      <c r="O373" s="216"/>
      <c r="P373" s="216"/>
      <c r="Q373" s="216"/>
      <c r="R373" s="216"/>
    </row>
    <row r="374" spans="1:18" s="217" customFormat="1" ht="96.75" customHeight="1">
      <c r="A374" s="283"/>
      <c r="B374" s="100" t="s">
        <v>721</v>
      </c>
      <c r="C374" s="310" t="s">
        <v>1326</v>
      </c>
      <c r="D374" s="311" t="s">
        <v>1324</v>
      </c>
      <c r="E374" s="311" t="s">
        <v>1325</v>
      </c>
      <c r="F374" s="311" t="s">
        <v>281</v>
      </c>
      <c r="G374" s="311" t="s">
        <v>248</v>
      </c>
      <c r="H374" s="311" t="s">
        <v>249</v>
      </c>
      <c r="I374" s="318" t="s">
        <v>282</v>
      </c>
      <c r="J374" s="318" t="s">
        <v>68</v>
      </c>
      <c r="K374" s="319" t="s">
        <v>283</v>
      </c>
      <c r="L374" s="215" t="s">
        <v>37</v>
      </c>
      <c r="M374" s="215" t="s">
        <v>32</v>
      </c>
      <c r="N374" s="216">
        <v>156.14400000000001</v>
      </c>
      <c r="O374" s="216">
        <v>91.138999999999996</v>
      </c>
      <c r="P374" s="216">
        <v>161.137</v>
      </c>
      <c r="Q374" s="216">
        <v>161.137</v>
      </c>
      <c r="R374" s="216">
        <v>161.137</v>
      </c>
    </row>
    <row r="375" spans="1:18" s="217" customFormat="1" ht="84" customHeight="1">
      <c r="A375" s="283"/>
      <c r="B375" s="100" t="s">
        <v>801</v>
      </c>
      <c r="C375" s="316" t="s">
        <v>429</v>
      </c>
      <c r="D375" s="316" t="s">
        <v>430</v>
      </c>
      <c r="E375" s="316" t="s">
        <v>431</v>
      </c>
      <c r="F375" s="316" t="s">
        <v>432</v>
      </c>
      <c r="G375" s="316" t="s">
        <v>433</v>
      </c>
      <c r="H375" s="316" t="s">
        <v>60</v>
      </c>
      <c r="I375" s="316" t="s">
        <v>413</v>
      </c>
      <c r="J375" s="317" t="s">
        <v>70</v>
      </c>
      <c r="K375" s="317" t="s">
        <v>414</v>
      </c>
      <c r="L375" s="215" t="s">
        <v>37</v>
      </c>
      <c r="M375" s="215" t="s">
        <v>35</v>
      </c>
      <c r="N375" s="216">
        <f>1299.868+42.704</f>
        <v>1342.5719999999999</v>
      </c>
      <c r="O375" s="216">
        <f>1272.538+42.704</f>
        <v>1315.242</v>
      </c>
      <c r="P375" s="216">
        <f>1339.896+42.86</f>
        <v>1382.7559999999999</v>
      </c>
      <c r="Q375" s="216">
        <f t="shared" ref="Q375:R375" si="69">1339.896+42.86</f>
        <v>1382.7559999999999</v>
      </c>
      <c r="R375" s="216">
        <f t="shared" si="69"/>
        <v>1382.7559999999999</v>
      </c>
    </row>
    <row r="376" spans="1:18" s="217" customFormat="1" ht="97.5" customHeight="1">
      <c r="A376" s="283"/>
      <c r="B376" s="100" t="s">
        <v>802</v>
      </c>
      <c r="C376" s="477" t="s">
        <v>284</v>
      </c>
      <c r="D376" s="477" t="s">
        <v>285</v>
      </c>
      <c r="E376" s="477" t="s">
        <v>286</v>
      </c>
      <c r="F376" s="477" t="s">
        <v>287</v>
      </c>
      <c r="G376" s="477" t="s">
        <v>803</v>
      </c>
      <c r="H376" s="477" t="s">
        <v>799</v>
      </c>
      <c r="I376" s="477" t="s">
        <v>800</v>
      </c>
      <c r="J376" s="516" t="s">
        <v>89</v>
      </c>
      <c r="K376" s="516" t="s">
        <v>290</v>
      </c>
      <c r="L376" s="215"/>
      <c r="M376" s="215"/>
      <c r="N376" s="216"/>
      <c r="O376" s="216"/>
      <c r="P376" s="216"/>
      <c r="Q376" s="216"/>
      <c r="R376" s="216"/>
    </row>
    <row r="377" spans="1:18" s="217" customFormat="1" ht="144.75" customHeight="1">
      <c r="A377" s="289"/>
      <c r="B377" s="100" t="s">
        <v>722</v>
      </c>
      <c r="C377" s="477" t="s">
        <v>192</v>
      </c>
      <c r="D377" s="477" t="s">
        <v>234</v>
      </c>
      <c r="E377" s="477" t="s">
        <v>194</v>
      </c>
      <c r="F377" s="477" t="s">
        <v>235</v>
      </c>
      <c r="G377" s="477" t="s">
        <v>236</v>
      </c>
      <c r="H377" s="477" t="s">
        <v>237</v>
      </c>
      <c r="I377" s="477" t="s">
        <v>238</v>
      </c>
      <c r="J377" s="477" t="s">
        <v>89</v>
      </c>
      <c r="K377" s="477" t="s">
        <v>239</v>
      </c>
      <c r="L377" s="215" t="s">
        <v>23</v>
      </c>
      <c r="M377" s="215" t="s">
        <v>33</v>
      </c>
      <c r="N377" s="216">
        <v>13.071</v>
      </c>
      <c r="O377" s="216">
        <v>13.071</v>
      </c>
      <c r="P377" s="216">
        <v>13.545</v>
      </c>
      <c r="Q377" s="216">
        <v>13.545</v>
      </c>
      <c r="R377" s="216">
        <v>13.545</v>
      </c>
    </row>
    <row r="378" spans="1:18" s="114" customFormat="1" ht="132" customHeight="1">
      <c r="A378" s="52" t="s">
        <v>652</v>
      </c>
      <c r="B378" s="488">
        <v>1805</v>
      </c>
      <c r="C378" s="316" t="s">
        <v>429</v>
      </c>
      <c r="D378" s="316" t="s">
        <v>430</v>
      </c>
      <c r="E378" s="316" t="s">
        <v>431</v>
      </c>
      <c r="F378" s="316" t="s">
        <v>432</v>
      </c>
      <c r="G378" s="316" t="s">
        <v>433</v>
      </c>
      <c r="H378" s="316" t="s">
        <v>60</v>
      </c>
      <c r="I378" s="559" t="s">
        <v>413</v>
      </c>
      <c r="J378" s="657" t="s">
        <v>70</v>
      </c>
      <c r="K378" s="657" t="s">
        <v>414</v>
      </c>
      <c r="L378" s="488" t="s">
        <v>37</v>
      </c>
      <c r="M378" s="488" t="s">
        <v>35</v>
      </c>
      <c r="N378" s="243">
        <f>33.046+161.343+2749.305+1380.781+1065.923+165</f>
        <v>5555.3980000000001</v>
      </c>
      <c r="O378" s="243">
        <f>33.046+161.343+2749.305+1380.781+1065.923+165</f>
        <v>5555.3980000000001</v>
      </c>
      <c r="P378" s="243">
        <f>74.9+365.7+7609.5+900+500+310.7</f>
        <v>9760.8000000000011</v>
      </c>
      <c r="Q378" s="243">
        <f>74.9+365.7+7609.5+400+1000+310.7</f>
        <v>9760.8000000000011</v>
      </c>
      <c r="R378" s="243">
        <f>74.9+365.7+7609.5+400+1000+310.7-20.2</f>
        <v>9740.6</v>
      </c>
    </row>
    <row r="379" spans="1:18" s="114" customFormat="1" ht="108.75" hidden="1" customHeight="1">
      <c r="A379" s="48"/>
      <c r="B379" s="448"/>
      <c r="C379" s="478" t="s">
        <v>376</v>
      </c>
      <c r="D379" s="478" t="s">
        <v>68</v>
      </c>
      <c r="E379" s="478" t="s">
        <v>377</v>
      </c>
      <c r="F379" s="478" t="s">
        <v>375</v>
      </c>
      <c r="G379" s="478" t="s">
        <v>68</v>
      </c>
      <c r="H379" s="478" t="s">
        <v>79</v>
      </c>
      <c r="I379" s="552"/>
      <c r="J379" s="632"/>
      <c r="K379" s="632"/>
      <c r="L379" s="448"/>
      <c r="M379" s="448"/>
      <c r="N379" s="58">
        <v>0</v>
      </c>
      <c r="O379" s="58"/>
      <c r="P379" s="58"/>
      <c r="Q379" s="58"/>
      <c r="R379" s="173"/>
    </row>
    <row r="380" spans="1:18" s="114" customFormat="1" ht="108.75" customHeight="1">
      <c r="A380" s="108" t="s">
        <v>1419</v>
      </c>
      <c r="B380" s="488">
        <v>1807</v>
      </c>
      <c r="C380" s="316"/>
      <c r="D380" s="316"/>
      <c r="E380" s="316"/>
      <c r="F380" s="316"/>
      <c r="G380" s="316"/>
      <c r="H380" s="316"/>
      <c r="I380" s="560"/>
      <c r="J380" s="658"/>
      <c r="K380" s="658"/>
      <c r="L380" s="488" t="s">
        <v>37</v>
      </c>
      <c r="M380" s="488" t="s">
        <v>35</v>
      </c>
      <c r="N380" s="243">
        <f>14.734+10.219+49.89</f>
        <v>74.843000000000004</v>
      </c>
      <c r="O380" s="243">
        <f>14.727+10.219+49.89</f>
        <v>74.835999999999999</v>
      </c>
      <c r="P380" s="243">
        <v>10.6</v>
      </c>
      <c r="Q380" s="243">
        <v>0</v>
      </c>
      <c r="R380" s="243">
        <v>0</v>
      </c>
    </row>
    <row r="381" spans="1:18" s="114" customFormat="1" ht="51.75" customHeight="1">
      <c r="A381" s="545" t="s">
        <v>653</v>
      </c>
      <c r="B381" s="459" t="s">
        <v>654</v>
      </c>
      <c r="C381" s="551" t="s">
        <v>226</v>
      </c>
      <c r="D381" s="551" t="s">
        <v>228</v>
      </c>
      <c r="E381" s="551" t="s">
        <v>227</v>
      </c>
      <c r="F381" s="653" t="s">
        <v>229</v>
      </c>
      <c r="G381" s="551" t="s">
        <v>230</v>
      </c>
      <c r="H381" s="652" t="s">
        <v>231</v>
      </c>
      <c r="I381" s="552" t="s">
        <v>232</v>
      </c>
      <c r="J381" s="552" t="s">
        <v>72</v>
      </c>
      <c r="K381" s="632" t="s">
        <v>233</v>
      </c>
      <c r="L381" s="459" t="s">
        <v>43</v>
      </c>
      <c r="M381" s="459" t="s">
        <v>32</v>
      </c>
      <c r="N381" s="53">
        <v>129.363</v>
      </c>
      <c r="O381" s="53">
        <v>129.363</v>
      </c>
      <c r="P381" s="53">
        <v>93.744</v>
      </c>
      <c r="Q381" s="53">
        <v>93.744</v>
      </c>
      <c r="R381" s="53">
        <v>93.744</v>
      </c>
    </row>
    <row r="382" spans="1:18" s="114" customFormat="1" ht="51.75" customHeight="1">
      <c r="A382" s="545"/>
      <c r="B382" s="459"/>
      <c r="C382" s="551"/>
      <c r="D382" s="551"/>
      <c r="E382" s="551"/>
      <c r="F382" s="653"/>
      <c r="G382" s="551"/>
      <c r="H382" s="652"/>
      <c r="I382" s="552"/>
      <c r="J382" s="552"/>
      <c r="K382" s="632"/>
      <c r="L382" s="447" t="s">
        <v>43</v>
      </c>
      <c r="M382" s="447" t="s">
        <v>36</v>
      </c>
      <c r="N382" s="20">
        <v>818.55700000000002</v>
      </c>
      <c r="O382" s="20">
        <v>816.577</v>
      </c>
      <c r="P382" s="20">
        <v>969.00800000000004</v>
      </c>
      <c r="Q382" s="20">
        <v>969.00800000000004</v>
      </c>
      <c r="R382" s="20">
        <v>969.00800000000004</v>
      </c>
    </row>
    <row r="383" spans="1:18" s="114" customFormat="1" ht="51.75" customHeight="1">
      <c r="A383" s="575"/>
      <c r="B383" s="459"/>
      <c r="C383" s="112"/>
      <c r="D383" s="112"/>
      <c r="E383" s="112"/>
      <c r="F383" s="654"/>
      <c r="G383" s="112"/>
      <c r="H383" s="112"/>
      <c r="I383" s="112"/>
      <c r="J383" s="112"/>
      <c r="K383" s="135"/>
      <c r="L383" s="508" t="s">
        <v>43</v>
      </c>
      <c r="M383" s="508" t="s">
        <v>41</v>
      </c>
      <c r="N383" s="20">
        <v>52.08</v>
      </c>
      <c r="O383" s="20">
        <v>52.08</v>
      </c>
      <c r="P383" s="20">
        <v>31.248000000000001</v>
      </c>
      <c r="Q383" s="20">
        <v>31.248000000000001</v>
      </c>
      <c r="R383" s="20">
        <v>31.248000000000001</v>
      </c>
    </row>
    <row r="384" spans="1:18" s="114" customFormat="1" ht="155.25" hidden="1" customHeight="1">
      <c r="A384" s="52" t="s">
        <v>655</v>
      </c>
      <c r="B384" s="447" t="s">
        <v>656</v>
      </c>
      <c r="C384" s="477" t="s">
        <v>192</v>
      </c>
      <c r="D384" s="477" t="s">
        <v>234</v>
      </c>
      <c r="E384" s="477" t="s">
        <v>194</v>
      </c>
      <c r="F384" s="477" t="s">
        <v>235</v>
      </c>
      <c r="G384" s="477" t="s">
        <v>236</v>
      </c>
      <c r="H384" s="477" t="s">
        <v>237</v>
      </c>
      <c r="I384" s="477" t="s">
        <v>238</v>
      </c>
      <c r="J384" s="477" t="s">
        <v>89</v>
      </c>
      <c r="K384" s="477" t="s">
        <v>239</v>
      </c>
      <c r="L384" s="488" t="s">
        <v>23</v>
      </c>
      <c r="M384" s="488" t="s">
        <v>33</v>
      </c>
      <c r="N384" s="243">
        <v>0</v>
      </c>
      <c r="O384" s="243">
        <v>0</v>
      </c>
      <c r="P384" s="243">
        <v>0</v>
      </c>
      <c r="Q384" s="243">
        <v>0</v>
      </c>
      <c r="R384" s="170">
        <v>0</v>
      </c>
    </row>
    <row r="385" spans="1:18" s="114" customFormat="1" ht="60">
      <c r="A385" s="108" t="s">
        <v>655</v>
      </c>
      <c r="B385" s="488" t="s">
        <v>905</v>
      </c>
      <c r="C385" s="316"/>
      <c r="D385" s="316"/>
      <c r="E385" s="316"/>
      <c r="F385" s="316"/>
      <c r="G385" s="316"/>
      <c r="H385" s="316"/>
      <c r="I385" s="316" t="s">
        <v>544</v>
      </c>
      <c r="J385" s="316" t="s">
        <v>68</v>
      </c>
      <c r="K385" s="316" t="s">
        <v>533</v>
      </c>
      <c r="L385" s="508" t="s">
        <v>23</v>
      </c>
      <c r="M385" s="508" t="s">
        <v>37</v>
      </c>
      <c r="N385" s="20">
        <v>0</v>
      </c>
      <c r="O385" s="20">
        <v>0</v>
      </c>
      <c r="P385" s="20">
        <v>252.24100000000001</v>
      </c>
      <c r="Q385" s="20">
        <v>252.24100000000001</v>
      </c>
      <c r="R385" s="243">
        <v>252.24100000000001</v>
      </c>
    </row>
    <row r="386" spans="1:18" s="114" customFormat="1" ht="276.75" customHeight="1">
      <c r="A386" s="576" t="s">
        <v>657</v>
      </c>
      <c r="B386" s="447" t="s">
        <v>658</v>
      </c>
      <c r="C386" s="514" t="s">
        <v>226</v>
      </c>
      <c r="D386" s="492" t="s">
        <v>246</v>
      </c>
      <c r="E386" s="492" t="s">
        <v>227</v>
      </c>
      <c r="F386" s="492" t="s">
        <v>247</v>
      </c>
      <c r="G386" s="492" t="s">
        <v>248</v>
      </c>
      <c r="H386" s="492" t="s">
        <v>80</v>
      </c>
      <c r="I386" s="182" t="s">
        <v>250</v>
      </c>
      <c r="J386" s="182" t="s">
        <v>68</v>
      </c>
      <c r="K386" s="183" t="s">
        <v>251</v>
      </c>
      <c r="L386" s="447" t="s">
        <v>43</v>
      </c>
      <c r="M386" s="447" t="s">
        <v>32</v>
      </c>
      <c r="N386" s="20">
        <v>0</v>
      </c>
      <c r="O386" s="20">
        <v>0</v>
      </c>
      <c r="P386" s="20">
        <v>0</v>
      </c>
      <c r="Q386" s="20">
        <v>0</v>
      </c>
      <c r="R386" s="53">
        <v>0</v>
      </c>
    </row>
    <row r="387" spans="1:18" s="114" customFormat="1" ht="156" customHeight="1">
      <c r="A387" s="545"/>
      <c r="B387" s="509" t="s">
        <v>450</v>
      </c>
      <c r="C387" s="466" t="s">
        <v>252</v>
      </c>
      <c r="D387" s="452" t="s">
        <v>248</v>
      </c>
      <c r="E387" s="452" t="s">
        <v>253</v>
      </c>
      <c r="F387" s="452" t="s">
        <v>242</v>
      </c>
      <c r="G387" s="452" t="s">
        <v>254</v>
      </c>
      <c r="H387" s="455" t="s">
        <v>255</v>
      </c>
      <c r="I387" s="452" t="s">
        <v>1023</v>
      </c>
      <c r="J387" s="452" t="s">
        <v>256</v>
      </c>
      <c r="K387" s="320" t="s">
        <v>257</v>
      </c>
      <c r="L387" s="447" t="s">
        <v>43</v>
      </c>
      <c r="M387" s="447" t="s">
        <v>36</v>
      </c>
      <c r="N387" s="20">
        <v>1789.5360000000001</v>
      </c>
      <c r="O387" s="20">
        <v>1375.7660000000001</v>
      </c>
      <c r="P387" s="20">
        <v>1603</v>
      </c>
      <c r="Q387" s="20">
        <v>1603</v>
      </c>
      <c r="R387" s="20">
        <v>1603</v>
      </c>
    </row>
    <row r="388" spans="1:18" s="114" customFormat="1" ht="157.5" customHeight="1">
      <c r="A388" s="575"/>
      <c r="B388" s="509" t="s">
        <v>451</v>
      </c>
      <c r="C388" s="515" t="s">
        <v>240</v>
      </c>
      <c r="D388" s="502" t="s">
        <v>188</v>
      </c>
      <c r="E388" s="502" t="s">
        <v>241</v>
      </c>
      <c r="F388" s="502" t="s">
        <v>242</v>
      </c>
      <c r="G388" s="502" t="s">
        <v>243</v>
      </c>
      <c r="H388" s="502" t="s">
        <v>218</v>
      </c>
      <c r="I388" s="502" t="s">
        <v>415</v>
      </c>
      <c r="J388" s="314" t="s">
        <v>244</v>
      </c>
      <c r="K388" s="315" t="s">
        <v>245</v>
      </c>
      <c r="L388" s="447" t="s">
        <v>23</v>
      </c>
      <c r="M388" s="447" t="s">
        <v>37</v>
      </c>
      <c r="N388" s="20">
        <f>70+33443.5+14196+14.818</f>
        <v>47724.317999999999</v>
      </c>
      <c r="O388" s="20">
        <f>57.931+27708.639+13641.243+0</f>
        <v>41407.813000000002</v>
      </c>
      <c r="P388" s="20">
        <f>25628.4+11638+84+115</f>
        <v>37465.4</v>
      </c>
      <c r="Q388" s="20">
        <f>25822+15288+84</f>
        <v>41194</v>
      </c>
      <c r="R388" s="20">
        <f>25747.2+15288+84</f>
        <v>41119.199999999997</v>
      </c>
    </row>
    <row r="389" spans="1:18" s="114" customFormat="1" ht="192.75" customHeight="1">
      <c r="A389" s="52" t="s">
        <v>659</v>
      </c>
      <c r="B389" s="447" t="s">
        <v>1057</v>
      </c>
      <c r="C389" s="472" t="s">
        <v>284</v>
      </c>
      <c r="D389" s="472" t="s">
        <v>285</v>
      </c>
      <c r="E389" s="472" t="s">
        <v>286</v>
      </c>
      <c r="F389" s="472" t="s">
        <v>287</v>
      </c>
      <c r="G389" s="472" t="s">
        <v>262</v>
      </c>
      <c r="H389" s="472" t="s">
        <v>288</v>
      </c>
      <c r="I389" s="463" t="s">
        <v>289</v>
      </c>
      <c r="J389" s="463" t="s">
        <v>68</v>
      </c>
      <c r="K389" s="496" t="s">
        <v>290</v>
      </c>
      <c r="L389" s="447" t="s">
        <v>37</v>
      </c>
      <c r="M389" s="447" t="s">
        <v>35</v>
      </c>
      <c r="N389" s="20">
        <v>636.20000000000005</v>
      </c>
      <c r="O389" s="20">
        <v>636.19000000000005</v>
      </c>
      <c r="P389" s="20">
        <v>1132.3</v>
      </c>
      <c r="Q389" s="20">
        <v>636.20000000000005</v>
      </c>
      <c r="R389" s="20">
        <v>636.20000000000005</v>
      </c>
    </row>
    <row r="390" spans="1:18" s="114" customFormat="1" ht="36.75" customHeight="1">
      <c r="A390" s="576" t="s">
        <v>902</v>
      </c>
      <c r="B390" s="267" t="s">
        <v>904</v>
      </c>
      <c r="C390" s="558" t="s">
        <v>226</v>
      </c>
      <c r="D390" s="558" t="s">
        <v>246</v>
      </c>
      <c r="E390" s="558" t="s">
        <v>227</v>
      </c>
      <c r="F390" s="558" t="s">
        <v>247</v>
      </c>
      <c r="G390" s="558" t="s">
        <v>248</v>
      </c>
      <c r="H390" s="558" t="s">
        <v>249</v>
      </c>
      <c r="I390" s="555" t="s">
        <v>250</v>
      </c>
      <c r="J390" s="555" t="s">
        <v>68</v>
      </c>
      <c r="K390" s="617" t="s">
        <v>251</v>
      </c>
      <c r="L390" s="263" t="s">
        <v>43</v>
      </c>
      <c r="M390" s="234" t="s">
        <v>32</v>
      </c>
      <c r="N390" s="243">
        <v>434.5</v>
      </c>
      <c r="O390" s="243">
        <v>434.5</v>
      </c>
      <c r="P390" s="243">
        <v>434.5</v>
      </c>
      <c r="Q390" s="243">
        <v>434.5</v>
      </c>
      <c r="R390" s="243">
        <v>434.5</v>
      </c>
    </row>
    <row r="391" spans="1:18" s="114" customFormat="1" ht="23.25" customHeight="1">
      <c r="A391" s="545"/>
      <c r="B391" s="341" t="s">
        <v>903</v>
      </c>
      <c r="C391" s="558"/>
      <c r="D391" s="558"/>
      <c r="E391" s="558"/>
      <c r="F391" s="558"/>
      <c r="G391" s="558"/>
      <c r="H391" s="558"/>
      <c r="I391" s="555"/>
      <c r="J391" s="555"/>
      <c r="K391" s="617"/>
      <c r="L391" s="76" t="s">
        <v>43</v>
      </c>
      <c r="M391" s="508" t="s">
        <v>32</v>
      </c>
      <c r="N391" s="20">
        <v>443.23700000000002</v>
      </c>
      <c r="O391" s="20">
        <v>443.23700000000002</v>
      </c>
      <c r="P391" s="20">
        <v>401.3</v>
      </c>
      <c r="Q391" s="20">
        <v>444.6</v>
      </c>
      <c r="R391" s="20">
        <v>444.6</v>
      </c>
    </row>
    <row r="392" spans="1:18" s="114" customFormat="1" ht="265.5" customHeight="1">
      <c r="A392" s="575"/>
      <c r="B392" s="268"/>
      <c r="C392" s="558"/>
      <c r="D392" s="558"/>
      <c r="E392" s="558"/>
      <c r="F392" s="558"/>
      <c r="G392" s="558"/>
      <c r="H392" s="558"/>
      <c r="I392" s="555"/>
      <c r="J392" s="555"/>
      <c r="K392" s="617"/>
      <c r="L392" s="76" t="s">
        <v>43</v>
      </c>
      <c r="M392" s="508" t="s">
        <v>36</v>
      </c>
      <c r="N392" s="20">
        <v>11140.963</v>
      </c>
      <c r="O392" s="20">
        <v>10868.522000000001</v>
      </c>
      <c r="P392" s="20">
        <v>12931</v>
      </c>
      <c r="Q392" s="20">
        <v>14509.8</v>
      </c>
      <c r="R392" s="20">
        <v>14509.8</v>
      </c>
    </row>
    <row r="393" spans="1:18" s="115" customFormat="1" ht="60">
      <c r="A393" s="37" t="s">
        <v>660</v>
      </c>
      <c r="B393" s="467">
        <v>2000</v>
      </c>
      <c r="C393" s="264"/>
      <c r="D393" s="264"/>
      <c r="E393" s="265"/>
      <c r="F393" s="264"/>
      <c r="G393" s="264"/>
      <c r="H393" s="264"/>
      <c r="I393" s="264"/>
      <c r="J393" s="266"/>
      <c r="K393" s="266"/>
      <c r="L393" s="467"/>
      <c r="M393" s="467"/>
      <c r="N393" s="38">
        <f t="shared" ref="N393:O393" si="70">SUM(N394:N397)</f>
        <v>598788.9</v>
      </c>
      <c r="O393" s="38">
        <f t="shared" si="70"/>
        <v>598751.79999999993</v>
      </c>
      <c r="P393" s="38">
        <f>SUM(P394:P397)</f>
        <v>613208.9</v>
      </c>
      <c r="Q393" s="38">
        <f t="shared" ref="Q393:R393" si="71">SUM(Q394:Q397)</f>
        <v>598037.80000000005</v>
      </c>
      <c r="R393" s="38">
        <f t="shared" si="71"/>
        <v>598037.80000000005</v>
      </c>
    </row>
    <row r="394" spans="1:18" s="115" customFormat="1" ht="276" customHeight="1">
      <c r="A394" s="108" t="s">
        <v>1420</v>
      </c>
      <c r="B394" s="140" t="s">
        <v>1422</v>
      </c>
      <c r="C394" s="559" t="s">
        <v>226</v>
      </c>
      <c r="D394" s="559" t="s">
        <v>193</v>
      </c>
      <c r="E394" s="559" t="s">
        <v>227</v>
      </c>
      <c r="F394" s="667" t="s">
        <v>298</v>
      </c>
      <c r="G394" s="559" t="s">
        <v>248</v>
      </c>
      <c r="H394" s="559" t="s">
        <v>299</v>
      </c>
      <c r="I394" s="514" t="s">
        <v>1078</v>
      </c>
      <c r="J394" s="442" t="s">
        <v>68</v>
      </c>
      <c r="K394" s="437" t="s">
        <v>879</v>
      </c>
      <c r="L394" s="234" t="s">
        <v>43</v>
      </c>
      <c r="M394" s="508" t="s">
        <v>36</v>
      </c>
      <c r="N394" s="20">
        <v>261418.7</v>
      </c>
      <c r="O394" s="20">
        <v>261418.7</v>
      </c>
      <c r="P394" s="20">
        <v>267926.8</v>
      </c>
      <c r="Q394" s="20">
        <v>260019.3</v>
      </c>
      <c r="R394" s="20">
        <v>260019.3</v>
      </c>
    </row>
    <row r="395" spans="1:18" s="115" customFormat="1" ht="144" customHeight="1">
      <c r="A395" s="576" t="s">
        <v>1421</v>
      </c>
      <c r="B395" s="638" t="s">
        <v>1423</v>
      </c>
      <c r="C395" s="552"/>
      <c r="D395" s="552"/>
      <c r="E395" s="552"/>
      <c r="F395" s="668"/>
      <c r="G395" s="552"/>
      <c r="H395" s="552"/>
      <c r="I395" s="438" t="s">
        <v>1079</v>
      </c>
      <c r="J395" s="452" t="s">
        <v>68</v>
      </c>
      <c r="K395" s="455" t="s">
        <v>374</v>
      </c>
      <c r="L395" s="234" t="s">
        <v>43</v>
      </c>
      <c r="M395" s="508" t="s">
        <v>36</v>
      </c>
      <c r="N395" s="20">
        <v>230863</v>
      </c>
      <c r="O395" s="20">
        <v>230825.9</v>
      </c>
      <c r="P395" s="20">
        <v>236922.8</v>
      </c>
      <c r="Q395" s="20">
        <v>229659.2</v>
      </c>
      <c r="R395" s="20">
        <v>229659.2</v>
      </c>
    </row>
    <row r="396" spans="1:18" s="115" customFormat="1" ht="121.5" customHeight="1">
      <c r="A396" s="575"/>
      <c r="B396" s="666"/>
      <c r="C396" s="552"/>
      <c r="D396" s="552"/>
      <c r="E396" s="552"/>
      <c r="F396" s="668"/>
      <c r="G396" s="552"/>
      <c r="H396" s="552"/>
      <c r="I396" s="439" t="s">
        <v>878</v>
      </c>
      <c r="J396" s="431" t="s">
        <v>68</v>
      </c>
      <c r="K396" s="431" t="s">
        <v>879</v>
      </c>
      <c r="L396" s="75"/>
      <c r="M396" s="508"/>
      <c r="N396" s="20"/>
      <c r="O396" s="20"/>
      <c r="P396" s="20"/>
      <c r="Q396" s="20"/>
      <c r="R396" s="20"/>
    </row>
    <row r="397" spans="1:18" s="114" customFormat="1" ht="265.5" customHeight="1">
      <c r="A397" s="470" t="s">
        <v>661</v>
      </c>
      <c r="B397" s="507" t="s">
        <v>714</v>
      </c>
      <c r="C397" s="560"/>
      <c r="D397" s="560"/>
      <c r="E397" s="560"/>
      <c r="F397" s="669"/>
      <c r="G397" s="560"/>
      <c r="H397" s="560"/>
      <c r="I397" s="432" t="s">
        <v>300</v>
      </c>
      <c r="J397" s="449" t="s">
        <v>68</v>
      </c>
      <c r="K397" s="450" t="s">
        <v>301</v>
      </c>
      <c r="L397" s="71" t="s">
        <v>43</v>
      </c>
      <c r="M397" s="508" t="s">
        <v>32</v>
      </c>
      <c r="N397" s="20">
        <v>106507.2</v>
      </c>
      <c r="O397" s="20">
        <v>106507.2</v>
      </c>
      <c r="P397" s="20">
        <v>108359.3</v>
      </c>
      <c r="Q397" s="20">
        <v>108359.3</v>
      </c>
      <c r="R397" s="20">
        <v>108359.3</v>
      </c>
    </row>
    <row r="398" spans="1:18" s="115" customFormat="1" ht="96.75" customHeight="1">
      <c r="A398" s="37" t="s">
        <v>662</v>
      </c>
      <c r="B398" s="467">
        <v>2100</v>
      </c>
      <c r="C398" s="467" t="s">
        <v>29</v>
      </c>
      <c r="D398" s="467" t="s">
        <v>29</v>
      </c>
      <c r="E398" s="467" t="s">
        <v>29</v>
      </c>
      <c r="F398" s="467" t="s">
        <v>29</v>
      </c>
      <c r="G398" s="467" t="s">
        <v>29</v>
      </c>
      <c r="H398" s="467" t="s">
        <v>29</v>
      </c>
      <c r="I398" s="467" t="s">
        <v>29</v>
      </c>
      <c r="J398" s="467" t="s">
        <v>29</v>
      </c>
      <c r="K398" s="467" t="s">
        <v>29</v>
      </c>
      <c r="L398" s="467"/>
      <c r="M398" s="467"/>
      <c r="N398" s="38">
        <f>N399+N403+N407</f>
        <v>413216.24800000002</v>
      </c>
      <c r="O398" s="38">
        <f t="shared" ref="O398" si="72">O399+O403+O407</f>
        <v>390281.75</v>
      </c>
      <c r="P398" s="38">
        <f>P399+P403+P407</f>
        <v>289300.97921999998</v>
      </c>
      <c r="Q398" s="38">
        <f>Q399+Q403+Q407</f>
        <v>131862.859</v>
      </c>
      <c r="R398" s="38">
        <f t="shared" ref="R398" si="73">R399+R403+R407</f>
        <v>135004.15899999999</v>
      </c>
    </row>
    <row r="399" spans="1:18" s="115" customFormat="1" ht="36">
      <c r="A399" s="79" t="s">
        <v>663</v>
      </c>
      <c r="B399" s="484">
        <v>2101</v>
      </c>
      <c r="C399" s="484"/>
      <c r="D399" s="484"/>
      <c r="E399" s="484"/>
      <c r="F399" s="484"/>
      <c r="G399" s="484"/>
      <c r="H399" s="484"/>
      <c r="I399" s="484"/>
      <c r="J399" s="484"/>
      <c r="K399" s="484"/>
      <c r="L399" s="484"/>
      <c r="M399" s="484"/>
      <c r="N399" s="97">
        <f t="shared" ref="N399:O399" si="74">SUM(N401:N402)</f>
        <v>56343.4</v>
      </c>
      <c r="O399" s="97">
        <f t="shared" si="74"/>
        <v>56343.4</v>
      </c>
      <c r="P399" s="97">
        <f>SUM(P401:P402)</f>
        <v>60000</v>
      </c>
      <c r="Q399" s="97">
        <f t="shared" ref="Q399:R399" si="75">SUM(Q401:Q402)</f>
        <v>60888</v>
      </c>
      <c r="R399" s="97">
        <f t="shared" si="75"/>
        <v>61007.3</v>
      </c>
    </row>
    <row r="400" spans="1:18" s="115" customFormat="1" ht="12">
      <c r="A400" s="69" t="s">
        <v>97</v>
      </c>
      <c r="B400" s="493"/>
      <c r="C400" s="493"/>
      <c r="D400" s="493"/>
      <c r="E400" s="493"/>
      <c r="F400" s="493"/>
      <c r="G400" s="493"/>
      <c r="H400" s="493"/>
      <c r="I400" s="493"/>
      <c r="J400" s="493"/>
      <c r="K400" s="493"/>
      <c r="L400" s="493"/>
      <c r="M400" s="493"/>
      <c r="N400" s="98"/>
      <c r="O400" s="98"/>
      <c r="P400" s="98"/>
      <c r="Q400" s="98"/>
      <c r="R400" s="98"/>
    </row>
    <row r="401" spans="1:18" s="114" customFormat="1" ht="119.25" customHeight="1">
      <c r="A401" s="45"/>
      <c r="B401" s="509" t="s">
        <v>553</v>
      </c>
      <c r="C401" s="27" t="s">
        <v>56</v>
      </c>
      <c r="D401" s="26" t="s">
        <v>310</v>
      </c>
      <c r="E401" s="27" t="s">
        <v>57</v>
      </c>
      <c r="F401" s="27" t="s">
        <v>222</v>
      </c>
      <c r="G401" s="27" t="s">
        <v>223</v>
      </c>
      <c r="H401" s="27" t="s">
        <v>218</v>
      </c>
      <c r="I401" s="27" t="s">
        <v>224</v>
      </c>
      <c r="J401" s="28" t="s">
        <v>70</v>
      </c>
      <c r="K401" s="28" t="s">
        <v>225</v>
      </c>
      <c r="L401" s="459" t="s">
        <v>27</v>
      </c>
      <c r="M401" s="459" t="s">
        <v>32</v>
      </c>
      <c r="N401" s="53">
        <v>56343.4</v>
      </c>
      <c r="O401" s="53">
        <v>56343.4</v>
      </c>
      <c r="P401" s="53">
        <f>11083.2+48916.8</f>
        <v>60000</v>
      </c>
      <c r="Q401" s="53">
        <v>60888</v>
      </c>
      <c r="R401" s="171">
        <v>61007.3</v>
      </c>
    </row>
    <row r="402" spans="1:18" s="114" customFormat="1" ht="60">
      <c r="A402" s="45"/>
      <c r="B402" s="459"/>
      <c r="C402" s="26"/>
      <c r="D402" s="26"/>
      <c r="E402" s="26"/>
      <c r="F402" s="26" t="s">
        <v>848</v>
      </c>
      <c r="G402" s="26" t="s">
        <v>311</v>
      </c>
      <c r="H402" s="26" t="s">
        <v>63</v>
      </c>
      <c r="I402" s="26" t="s">
        <v>1068</v>
      </c>
      <c r="J402" s="26" t="s">
        <v>202</v>
      </c>
      <c r="K402" s="26" t="s">
        <v>312</v>
      </c>
      <c r="L402" s="448"/>
      <c r="M402" s="448"/>
      <c r="N402" s="58"/>
      <c r="O402" s="58"/>
      <c r="P402" s="58"/>
      <c r="Q402" s="58"/>
      <c r="R402" s="173"/>
    </row>
    <row r="403" spans="1:18" s="115" customFormat="1" ht="144">
      <c r="A403" s="37" t="s">
        <v>664</v>
      </c>
      <c r="B403" s="467">
        <v>2103</v>
      </c>
      <c r="C403" s="467" t="s">
        <v>29</v>
      </c>
      <c r="D403" s="467" t="s">
        <v>29</v>
      </c>
      <c r="E403" s="467" t="s">
        <v>29</v>
      </c>
      <c r="F403" s="467" t="s">
        <v>29</v>
      </c>
      <c r="G403" s="467" t="s">
        <v>29</v>
      </c>
      <c r="H403" s="467" t="s">
        <v>29</v>
      </c>
      <c r="I403" s="467" t="s">
        <v>29</v>
      </c>
      <c r="J403" s="467" t="s">
        <v>29</v>
      </c>
      <c r="K403" s="467" t="s">
        <v>29</v>
      </c>
      <c r="L403" s="467"/>
      <c r="M403" s="467"/>
      <c r="N403" s="38">
        <f>SUM(N404:N405)</f>
        <v>11212.33</v>
      </c>
      <c r="O403" s="38">
        <f>SUM(O404:O405)</f>
        <v>11212.285</v>
      </c>
      <c r="P403" s="38">
        <f>SUM(P404:P405)</f>
        <v>9351.4593199999999</v>
      </c>
      <c r="Q403" s="38">
        <f>SUM(Q404:Q405)</f>
        <v>9335.3590000000004</v>
      </c>
      <c r="R403" s="38">
        <f t="shared" ref="R403" si="76">SUM(R404:R405)</f>
        <v>9400.3590000000004</v>
      </c>
    </row>
    <row r="404" spans="1:18" s="114" customFormat="1" ht="96">
      <c r="A404" s="52" t="s">
        <v>665</v>
      </c>
      <c r="B404" s="447" t="s">
        <v>1424</v>
      </c>
      <c r="C404" s="186" t="s">
        <v>313</v>
      </c>
      <c r="D404" s="186" t="s">
        <v>314</v>
      </c>
      <c r="E404" s="186" t="s">
        <v>315</v>
      </c>
      <c r="F404" s="186" t="s">
        <v>1271</v>
      </c>
      <c r="G404" s="186" t="s">
        <v>124</v>
      </c>
      <c r="H404" s="186" t="s">
        <v>1272</v>
      </c>
      <c r="I404" s="447" t="s">
        <v>1328</v>
      </c>
      <c r="J404" s="52" t="s">
        <v>68</v>
      </c>
      <c r="K404" s="447" t="s">
        <v>1272</v>
      </c>
      <c r="L404" s="447" t="s">
        <v>36</v>
      </c>
      <c r="M404" s="447" t="s">
        <v>41</v>
      </c>
      <c r="N404" s="52">
        <v>1242.5999999999999</v>
      </c>
      <c r="O404" s="20">
        <v>1242.5999999999999</v>
      </c>
      <c r="P404" s="394">
        <v>1282.0999999999999</v>
      </c>
      <c r="Q404" s="394">
        <v>1266</v>
      </c>
      <c r="R404" s="395">
        <v>1331</v>
      </c>
    </row>
    <row r="405" spans="1:18" s="114" customFormat="1" ht="60" customHeight="1">
      <c r="A405" s="52" t="s">
        <v>666</v>
      </c>
      <c r="B405" s="447" t="s">
        <v>1425</v>
      </c>
      <c r="C405" s="559" t="s">
        <v>192</v>
      </c>
      <c r="D405" s="559" t="s">
        <v>234</v>
      </c>
      <c r="E405" s="559" t="s">
        <v>194</v>
      </c>
      <c r="F405" s="559" t="s">
        <v>235</v>
      </c>
      <c r="G405" s="559" t="s">
        <v>236</v>
      </c>
      <c r="H405" s="655" t="s">
        <v>237</v>
      </c>
      <c r="I405" s="543" t="s">
        <v>1257</v>
      </c>
      <c r="J405" s="543" t="s">
        <v>68</v>
      </c>
      <c r="K405" s="543" t="s">
        <v>1258</v>
      </c>
      <c r="L405" s="497" t="s">
        <v>23</v>
      </c>
      <c r="M405" s="497" t="s">
        <v>37</v>
      </c>
      <c r="N405" s="269">
        <f>7584.188+405.54+1980.002</f>
        <v>9969.73</v>
      </c>
      <c r="O405" s="269">
        <f>7584.143+405.54+1980.002</f>
        <v>9969.6849999999995</v>
      </c>
      <c r="P405" s="269">
        <f>5562.8533+426.10602+2080.4</f>
        <v>8069.3593199999996</v>
      </c>
      <c r="Q405" s="269">
        <v>8069.3590000000004</v>
      </c>
      <c r="R405" s="269">
        <v>8069.3590000000004</v>
      </c>
    </row>
    <row r="406" spans="1:18" s="114" customFormat="1" ht="96" customHeight="1">
      <c r="A406" s="48"/>
      <c r="B406" s="448"/>
      <c r="C406" s="560"/>
      <c r="D406" s="560"/>
      <c r="E406" s="560"/>
      <c r="F406" s="560"/>
      <c r="G406" s="560"/>
      <c r="H406" s="656"/>
      <c r="I406" s="631"/>
      <c r="J406" s="631"/>
      <c r="K406" s="631"/>
      <c r="L406" s="501"/>
      <c r="M406" s="501"/>
      <c r="N406" s="70"/>
      <c r="O406" s="70"/>
      <c r="P406" s="70"/>
      <c r="Q406" s="70"/>
      <c r="R406" s="70"/>
    </row>
    <row r="407" spans="1:18" s="115" customFormat="1" ht="24" customHeight="1">
      <c r="A407" s="37" t="s">
        <v>667</v>
      </c>
      <c r="B407" s="467">
        <v>2200</v>
      </c>
      <c r="C407" s="467" t="s">
        <v>29</v>
      </c>
      <c r="D407" s="467" t="s">
        <v>29</v>
      </c>
      <c r="E407" s="467" t="s">
        <v>29</v>
      </c>
      <c r="F407" s="467" t="s">
        <v>29</v>
      </c>
      <c r="G407" s="467" t="s">
        <v>29</v>
      </c>
      <c r="H407" s="467" t="s">
        <v>29</v>
      </c>
      <c r="I407" s="467" t="s">
        <v>29</v>
      </c>
      <c r="J407" s="467" t="s">
        <v>29</v>
      </c>
      <c r="K407" s="467" t="s">
        <v>29</v>
      </c>
      <c r="L407" s="468"/>
      <c r="M407" s="468"/>
      <c r="N407" s="56">
        <f>N408</f>
        <v>345660.51800000004</v>
      </c>
      <c r="O407" s="56">
        <f t="shared" ref="O407:R407" si="77">O408</f>
        <v>322726.065</v>
      </c>
      <c r="P407" s="56">
        <f t="shared" si="77"/>
        <v>219949.51990000001</v>
      </c>
      <c r="Q407" s="56">
        <f t="shared" si="77"/>
        <v>61639.5</v>
      </c>
      <c r="R407" s="56">
        <f t="shared" si="77"/>
        <v>64596.5</v>
      </c>
    </row>
    <row r="408" spans="1:18" s="115" customFormat="1" ht="36" customHeight="1">
      <c r="A408" s="37" t="s">
        <v>668</v>
      </c>
      <c r="B408" s="467">
        <v>2300</v>
      </c>
      <c r="C408" s="467" t="s">
        <v>29</v>
      </c>
      <c r="D408" s="467" t="s">
        <v>29</v>
      </c>
      <c r="E408" s="467" t="s">
        <v>29</v>
      </c>
      <c r="F408" s="467" t="s">
        <v>29</v>
      </c>
      <c r="G408" s="467" t="s">
        <v>29</v>
      </c>
      <c r="H408" s="467" t="s">
        <v>29</v>
      </c>
      <c r="I408" s="467" t="s">
        <v>29</v>
      </c>
      <c r="J408" s="467" t="s">
        <v>29</v>
      </c>
      <c r="K408" s="467" t="s">
        <v>29</v>
      </c>
      <c r="L408" s="467"/>
      <c r="M408" s="467"/>
      <c r="N408" s="38">
        <f>N409+N415+N447+N455+N458+N469+N480+N483+N484+N486+N498+N504+N527+N528+N529+N533+N537+N536+N539+N540+N542</f>
        <v>345660.51800000004</v>
      </c>
      <c r="O408" s="38">
        <f>O409+O415+O447+O455+O458+O469+O480+O483+O484+O486+O498+O504+O527+O528+O529+O533+O537+O536+O539+O540+O542</f>
        <v>322726.065</v>
      </c>
      <c r="P408" s="38">
        <f>P409+P415+P447+P455+P458+P467+P469+P480+P483+P484+P486+P498+P504+P527+P528+P529+P533+P537+P536+P539+P540+P542</f>
        <v>219949.51990000001</v>
      </c>
      <c r="Q408" s="38">
        <f>Q409+Q415+Q447+Q455+Q458+Q469+Q480+Q483+Q484+Q486+Q498+Q504+Q527+Q528+Q529+Q533+Q537+Q536+Q539+Q540+Q542</f>
        <v>61639.5</v>
      </c>
      <c r="R408" s="38">
        <f>R409+R415+R447+R455+R458+R469+R480+R483+R484+R486+R498+R504+R527+R528+R529+R533+R537+R536+R539+R540+R542</f>
        <v>64596.5</v>
      </c>
    </row>
    <row r="409" spans="1:18" s="115" customFormat="1" ht="46.5" customHeight="1">
      <c r="A409" s="37" t="s">
        <v>669</v>
      </c>
      <c r="B409" s="467">
        <v>2301</v>
      </c>
      <c r="C409" s="37" t="s">
        <v>31</v>
      </c>
      <c r="D409" s="37" t="s">
        <v>31</v>
      </c>
      <c r="E409" s="37" t="s">
        <v>31</v>
      </c>
      <c r="F409" s="37" t="s">
        <v>31</v>
      </c>
      <c r="G409" s="37" t="s">
        <v>31</v>
      </c>
      <c r="H409" s="37" t="s">
        <v>31</v>
      </c>
      <c r="I409" s="29"/>
      <c r="J409" s="29"/>
      <c r="K409" s="30"/>
      <c r="L409" s="467"/>
      <c r="M409" s="467"/>
      <c r="N409" s="38">
        <f>SUM(N410:N414)</f>
        <v>490.27499999999998</v>
      </c>
      <c r="O409" s="38">
        <f t="shared" ref="O409:R409" si="78">SUM(O410:O414)</f>
        <v>490.27499999999998</v>
      </c>
      <c r="P409" s="38">
        <f t="shared" si="78"/>
        <v>0</v>
      </c>
      <c r="Q409" s="38">
        <f t="shared" si="78"/>
        <v>0</v>
      </c>
      <c r="R409" s="38">
        <f t="shared" si="78"/>
        <v>0</v>
      </c>
    </row>
    <row r="410" spans="1:18" s="114" customFormat="1" ht="72.75" customHeight="1">
      <c r="A410" s="99" t="s">
        <v>1261</v>
      </c>
      <c r="B410" s="100" t="s">
        <v>455</v>
      </c>
      <c r="C410" s="99"/>
      <c r="D410" s="99"/>
      <c r="E410" s="99"/>
      <c r="F410" s="99"/>
      <c r="G410" s="99"/>
      <c r="H410" s="99"/>
      <c r="I410" s="463" t="s">
        <v>1059</v>
      </c>
      <c r="J410" s="463" t="s">
        <v>68</v>
      </c>
      <c r="K410" s="496" t="s">
        <v>866</v>
      </c>
      <c r="L410" s="100" t="s">
        <v>32</v>
      </c>
      <c r="M410" s="100" t="s">
        <v>26</v>
      </c>
      <c r="N410" s="270">
        <v>343.27499999999998</v>
      </c>
      <c r="O410" s="270">
        <v>343.27499999999998</v>
      </c>
      <c r="P410" s="110">
        <v>0</v>
      </c>
      <c r="Q410" s="270">
        <v>0</v>
      </c>
      <c r="R410" s="270">
        <v>0</v>
      </c>
    </row>
    <row r="411" spans="1:18" s="114" customFormat="1" ht="60.75" customHeight="1">
      <c r="A411" s="54" t="s">
        <v>1262</v>
      </c>
      <c r="B411" s="518" t="s">
        <v>852</v>
      </c>
      <c r="C411" s="101"/>
      <c r="D411" s="101"/>
      <c r="E411" s="101"/>
      <c r="F411" s="101"/>
      <c r="G411" s="101"/>
      <c r="H411" s="101"/>
      <c r="I411" s="463" t="s">
        <v>867</v>
      </c>
      <c r="J411" s="440" t="s">
        <v>68</v>
      </c>
      <c r="K411" s="504" t="s">
        <v>866</v>
      </c>
      <c r="L411" s="518" t="s">
        <v>32</v>
      </c>
      <c r="M411" s="518" t="s">
        <v>26</v>
      </c>
      <c r="N411" s="331">
        <v>30</v>
      </c>
      <c r="O411" s="331">
        <v>30</v>
      </c>
      <c r="P411" s="88">
        <v>0</v>
      </c>
      <c r="Q411" s="331">
        <v>0</v>
      </c>
      <c r="R411" s="331">
        <v>0</v>
      </c>
    </row>
    <row r="412" spans="1:18" s="114" customFormat="1" ht="60" customHeight="1">
      <c r="A412" s="99" t="s">
        <v>1263</v>
      </c>
      <c r="B412" s="100" t="s">
        <v>538</v>
      </c>
      <c r="C412" s="99"/>
      <c r="D412" s="99"/>
      <c r="E412" s="99"/>
      <c r="F412" s="99"/>
      <c r="G412" s="99"/>
      <c r="H412" s="99"/>
      <c r="I412" s="463" t="s">
        <v>865</v>
      </c>
      <c r="J412" s="463" t="s">
        <v>68</v>
      </c>
      <c r="K412" s="496" t="s">
        <v>866</v>
      </c>
      <c r="L412" s="100" t="s">
        <v>32</v>
      </c>
      <c r="M412" s="100" t="s">
        <v>26</v>
      </c>
      <c r="N412" s="270">
        <v>75</v>
      </c>
      <c r="O412" s="270">
        <v>75</v>
      </c>
      <c r="P412" s="110">
        <v>0</v>
      </c>
      <c r="Q412" s="270">
        <v>0</v>
      </c>
      <c r="R412" s="270">
        <v>0</v>
      </c>
    </row>
    <row r="413" spans="1:18" s="114" customFormat="1" ht="84.75" customHeight="1">
      <c r="A413" s="99" t="s">
        <v>1264</v>
      </c>
      <c r="B413" s="100" t="s">
        <v>502</v>
      </c>
      <c r="C413" s="99"/>
      <c r="D413" s="99"/>
      <c r="E413" s="99"/>
      <c r="F413" s="99"/>
      <c r="G413" s="99"/>
      <c r="H413" s="99"/>
      <c r="I413" s="463" t="s">
        <v>994</v>
      </c>
      <c r="J413" s="463" t="s">
        <v>68</v>
      </c>
      <c r="K413" s="496" t="s">
        <v>995</v>
      </c>
      <c r="L413" s="100" t="s">
        <v>32</v>
      </c>
      <c r="M413" s="100" t="s">
        <v>26</v>
      </c>
      <c r="N413" s="270">
        <v>22</v>
      </c>
      <c r="O413" s="270">
        <v>22</v>
      </c>
      <c r="P413" s="110">
        <v>0</v>
      </c>
      <c r="Q413" s="270">
        <v>0</v>
      </c>
      <c r="R413" s="270">
        <v>0</v>
      </c>
    </row>
    <row r="414" spans="1:18" s="114" customFormat="1" ht="72" customHeight="1">
      <c r="A414" s="99" t="s">
        <v>1265</v>
      </c>
      <c r="B414" s="100" t="s">
        <v>986</v>
      </c>
      <c r="C414" s="99"/>
      <c r="D414" s="99"/>
      <c r="E414" s="99"/>
      <c r="F414" s="99"/>
      <c r="G414" s="99"/>
      <c r="H414" s="99"/>
      <c r="I414" s="463" t="s">
        <v>996</v>
      </c>
      <c r="J414" s="463" t="s">
        <v>68</v>
      </c>
      <c r="K414" s="496" t="s">
        <v>995</v>
      </c>
      <c r="L414" s="100" t="s">
        <v>32</v>
      </c>
      <c r="M414" s="100" t="s">
        <v>26</v>
      </c>
      <c r="N414" s="270">
        <v>20</v>
      </c>
      <c r="O414" s="270">
        <v>20</v>
      </c>
      <c r="P414" s="110">
        <v>0</v>
      </c>
      <c r="Q414" s="270">
        <v>0</v>
      </c>
      <c r="R414" s="270">
        <v>0</v>
      </c>
    </row>
    <row r="415" spans="1:18" s="115" customFormat="1" ht="84">
      <c r="A415" s="55" t="s">
        <v>670</v>
      </c>
      <c r="B415" s="468">
        <v>2302</v>
      </c>
      <c r="C415" s="55" t="s">
        <v>31</v>
      </c>
      <c r="D415" s="55" t="s">
        <v>31</v>
      </c>
      <c r="E415" s="55" t="s">
        <v>31</v>
      </c>
      <c r="F415" s="55" t="s">
        <v>31</v>
      </c>
      <c r="G415" s="55" t="s">
        <v>31</v>
      </c>
      <c r="H415" s="55" t="s">
        <v>31</v>
      </c>
      <c r="I415" s="55" t="s">
        <v>31</v>
      </c>
      <c r="J415" s="55" t="s">
        <v>31</v>
      </c>
      <c r="K415" s="55" t="s">
        <v>31</v>
      </c>
      <c r="L415" s="468"/>
      <c r="M415" s="468"/>
      <c r="N415" s="56">
        <f t="shared" ref="N415:O415" si="79">SUM(N418:N446)</f>
        <v>114565.375</v>
      </c>
      <c r="O415" s="56">
        <f t="shared" si="79"/>
        <v>108249.488</v>
      </c>
      <c r="P415" s="56">
        <f>SUM(P418:P446)</f>
        <v>45265.255000000005</v>
      </c>
      <c r="Q415" s="56">
        <f t="shared" ref="Q415:R415" si="80">SUM(Q418:Q446)</f>
        <v>0</v>
      </c>
      <c r="R415" s="56">
        <f t="shared" si="80"/>
        <v>0</v>
      </c>
    </row>
    <row r="416" spans="1:18" s="114" customFormat="1" ht="12">
      <c r="A416" s="37" t="s">
        <v>97</v>
      </c>
      <c r="B416" s="447"/>
      <c r="C416" s="52"/>
      <c r="D416" s="52"/>
      <c r="E416" s="52"/>
      <c r="F416" s="52"/>
      <c r="G416" s="95"/>
      <c r="H416" s="99"/>
      <c r="I416" s="99"/>
      <c r="J416" s="99"/>
      <c r="K416" s="99"/>
      <c r="L416" s="49"/>
      <c r="M416" s="447"/>
      <c r="N416" s="20"/>
      <c r="O416" s="20"/>
      <c r="P416" s="20"/>
      <c r="Q416" s="20"/>
      <c r="R416" s="170"/>
    </row>
    <row r="417" spans="1:18" s="114" customFormat="1" ht="24">
      <c r="A417" s="37" t="s">
        <v>671</v>
      </c>
      <c r="B417" s="447"/>
      <c r="C417" s="52"/>
      <c r="D417" s="52"/>
      <c r="E417" s="52"/>
      <c r="F417" s="52"/>
      <c r="G417" s="95"/>
      <c r="H417" s="99"/>
      <c r="I417" s="99"/>
      <c r="J417" s="99"/>
      <c r="K417" s="99"/>
      <c r="L417" s="49"/>
      <c r="M417" s="447"/>
      <c r="N417" s="20"/>
      <c r="O417" s="20"/>
      <c r="P417" s="52"/>
      <c r="Q417" s="52"/>
      <c r="R417" s="174"/>
    </row>
    <row r="418" spans="1:18" s="114" customFormat="1" ht="84">
      <c r="A418" s="99" t="s">
        <v>1131</v>
      </c>
      <c r="B418" s="100" t="s">
        <v>468</v>
      </c>
      <c r="C418" s="99"/>
      <c r="D418" s="99"/>
      <c r="E418" s="99"/>
      <c r="F418" s="99"/>
      <c r="G418" s="99"/>
      <c r="H418" s="99"/>
      <c r="I418" s="332" t="s">
        <v>1027</v>
      </c>
      <c r="J418" s="463" t="s">
        <v>68</v>
      </c>
      <c r="K418" s="496" t="s">
        <v>863</v>
      </c>
      <c r="L418" s="100" t="s">
        <v>35</v>
      </c>
      <c r="M418" s="100" t="s">
        <v>36</v>
      </c>
      <c r="N418" s="110">
        <v>3724.808</v>
      </c>
      <c r="O418" s="105">
        <v>2578.415</v>
      </c>
      <c r="P418" s="110">
        <v>0</v>
      </c>
      <c r="Q418" s="110">
        <v>0</v>
      </c>
      <c r="R418" s="110">
        <v>0</v>
      </c>
    </row>
    <row r="419" spans="1:18" s="114" customFormat="1" ht="72">
      <c r="A419" s="99" t="s">
        <v>1132</v>
      </c>
      <c r="B419" s="100" t="s">
        <v>869</v>
      </c>
      <c r="C419" s="99"/>
      <c r="D419" s="99"/>
      <c r="E419" s="99"/>
      <c r="F419" s="99"/>
      <c r="G419" s="99"/>
      <c r="H419" s="99"/>
      <c r="I419" s="332" t="s">
        <v>881</v>
      </c>
      <c r="J419" s="463" t="s">
        <v>68</v>
      </c>
      <c r="K419" s="496" t="s">
        <v>882</v>
      </c>
      <c r="L419" s="100" t="s">
        <v>35</v>
      </c>
      <c r="M419" s="100" t="s">
        <v>36</v>
      </c>
      <c r="N419" s="110">
        <v>708.22500000000002</v>
      </c>
      <c r="O419" s="105">
        <v>116.863</v>
      </c>
      <c r="P419" s="110">
        <v>0</v>
      </c>
      <c r="Q419" s="110">
        <v>0</v>
      </c>
      <c r="R419" s="110">
        <v>0</v>
      </c>
    </row>
    <row r="420" spans="1:18" s="114" customFormat="1" ht="77.25" customHeight="1">
      <c r="A420" s="99" t="s">
        <v>1133</v>
      </c>
      <c r="B420" s="100" t="s">
        <v>534</v>
      </c>
      <c r="C420" s="99"/>
      <c r="D420" s="99"/>
      <c r="E420" s="99"/>
      <c r="F420" s="99"/>
      <c r="G420" s="99"/>
      <c r="H420" s="99"/>
      <c r="I420" s="332" t="s">
        <v>1091</v>
      </c>
      <c r="J420" s="463" t="s">
        <v>68</v>
      </c>
      <c r="K420" s="496" t="s">
        <v>884</v>
      </c>
      <c r="L420" s="100" t="s">
        <v>35</v>
      </c>
      <c r="M420" s="100" t="s">
        <v>36</v>
      </c>
      <c r="N420" s="110">
        <v>47000</v>
      </c>
      <c r="O420" s="105">
        <v>47000</v>
      </c>
      <c r="P420" s="110">
        <v>0</v>
      </c>
      <c r="Q420" s="110">
        <v>0</v>
      </c>
      <c r="R420" s="110">
        <v>0</v>
      </c>
    </row>
    <row r="421" spans="1:18" s="114" customFormat="1" ht="48">
      <c r="A421" s="99" t="s">
        <v>1134</v>
      </c>
      <c r="B421" s="100" t="s">
        <v>485</v>
      </c>
      <c r="C421" s="99"/>
      <c r="D421" s="99"/>
      <c r="E421" s="99"/>
      <c r="F421" s="99"/>
      <c r="G421" s="99"/>
      <c r="H421" s="99"/>
      <c r="I421" s="332" t="s">
        <v>955</v>
      </c>
      <c r="J421" s="463" t="s">
        <v>68</v>
      </c>
      <c r="K421" s="496" t="s">
        <v>956</v>
      </c>
      <c r="L421" s="100" t="s">
        <v>35</v>
      </c>
      <c r="M421" s="100" t="s">
        <v>36</v>
      </c>
      <c r="N421" s="110">
        <v>1940</v>
      </c>
      <c r="O421" s="105">
        <v>1940</v>
      </c>
      <c r="P421" s="110">
        <v>0</v>
      </c>
      <c r="Q421" s="110">
        <v>0</v>
      </c>
      <c r="R421" s="110">
        <v>0</v>
      </c>
    </row>
    <row r="422" spans="1:18" s="114" customFormat="1" ht="60">
      <c r="A422" s="99" t="s">
        <v>1135</v>
      </c>
      <c r="B422" s="100" t="s">
        <v>484</v>
      </c>
      <c r="C422" s="99"/>
      <c r="D422" s="99"/>
      <c r="E422" s="99"/>
      <c r="F422" s="99"/>
      <c r="G422" s="99"/>
      <c r="H422" s="99"/>
      <c r="I422" s="332" t="s">
        <v>957</v>
      </c>
      <c r="J422" s="463" t="s">
        <v>68</v>
      </c>
      <c r="K422" s="496" t="s">
        <v>956</v>
      </c>
      <c r="L422" s="100" t="s">
        <v>35</v>
      </c>
      <c r="M422" s="100" t="s">
        <v>36</v>
      </c>
      <c r="N422" s="110">
        <v>350</v>
      </c>
      <c r="O422" s="105">
        <v>350</v>
      </c>
      <c r="P422" s="110">
        <v>0</v>
      </c>
      <c r="Q422" s="110">
        <v>0</v>
      </c>
      <c r="R422" s="110">
        <v>0</v>
      </c>
    </row>
    <row r="423" spans="1:18" s="114" customFormat="1" ht="60">
      <c r="A423" s="99" t="s">
        <v>1136</v>
      </c>
      <c r="B423" s="100" t="s">
        <v>482</v>
      </c>
      <c r="C423" s="99"/>
      <c r="D423" s="99"/>
      <c r="E423" s="99"/>
      <c r="F423" s="99"/>
      <c r="G423" s="99"/>
      <c r="H423" s="99"/>
      <c r="I423" s="332" t="s">
        <v>1089</v>
      </c>
      <c r="J423" s="463" t="s">
        <v>68</v>
      </c>
      <c r="K423" s="496" t="s">
        <v>956</v>
      </c>
      <c r="L423" s="100" t="s">
        <v>35</v>
      </c>
      <c r="M423" s="100" t="s">
        <v>36</v>
      </c>
      <c r="N423" s="110">
        <v>910</v>
      </c>
      <c r="O423" s="105">
        <v>910</v>
      </c>
      <c r="P423" s="110">
        <v>0</v>
      </c>
      <c r="Q423" s="110">
        <v>0</v>
      </c>
      <c r="R423" s="110">
        <v>0</v>
      </c>
    </row>
    <row r="424" spans="1:18" s="114" customFormat="1" ht="60">
      <c r="A424" s="99" t="s">
        <v>1137</v>
      </c>
      <c r="B424" s="100" t="s">
        <v>498</v>
      </c>
      <c r="C424" s="99"/>
      <c r="D424" s="99"/>
      <c r="E424" s="99"/>
      <c r="F424" s="99"/>
      <c r="G424" s="99"/>
      <c r="H424" s="99"/>
      <c r="I424" s="332" t="s">
        <v>1000</v>
      </c>
      <c r="J424" s="463" t="s">
        <v>68</v>
      </c>
      <c r="K424" s="496" t="s">
        <v>995</v>
      </c>
      <c r="L424" s="100" t="s">
        <v>35</v>
      </c>
      <c r="M424" s="100" t="s">
        <v>36</v>
      </c>
      <c r="N424" s="110">
        <v>99.6</v>
      </c>
      <c r="O424" s="105">
        <v>99.6</v>
      </c>
      <c r="P424" s="110">
        <v>0</v>
      </c>
      <c r="Q424" s="110">
        <v>0</v>
      </c>
      <c r="R424" s="110">
        <v>0</v>
      </c>
    </row>
    <row r="425" spans="1:18" s="114" customFormat="1" ht="48">
      <c r="A425" s="99" t="s">
        <v>1138</v>
      </c>
      <c r="B425" s="100" t="s">
        <v>499</v>
      </c>
      <c r="C425" s="99"/>
      <c r="D425" s="99"/>
      <c r="E425" s="99"/>
      <c r="F425" s="99"/>
      <c r="G425" s="99"/>
      <c r="H425" s="99"/>
      <c r="I425" s="332" t="s">
        <v>999</v>
      </c>
      <c r="J425" s="463" t="s">
        <v>68</v>
      </c>
      <c r="K425" s="496" t="s">
        <v>995</v>
      </c>
      <c r="L425" s="100" t="s">
        <v>35</v>
      </c>
      <c r="M425" s="100" t="s">
        <v>36</v>
      </c>
      <c r="N425" s="110">
        <v>50</v>
      </c>
      <c r="O425" s="105">
        <v>50</v>
      </c>
      <c r="P425" s="110">
        <v>0</v>
      </c>
      <c r="Q425" s="110">
        <v>0</v>
      </c>
      <c r="R425" s="110">
        <v>0</v>
      </c>
    </row>
    <row r="426" spans="1:18" s="114" customFormat="1" ht="48">
      <c r="A426" s="99" t="s">
        <v>1139</v>
      </c>
      <c r="B426" s="100" t="s">
        <v>581</v>
      </c>
      <c r="C426" s="99"/>
      <c r="D426" s="99"/>
      <c r="E426" s="99"/>
      <c r="F426" s="99"/>
      <c r="G426" s="99"/>
      <c r="H426" s="99"/>
      <c r="I426" s="332" t="s">
        <v>1001</v>
      </c>
      <c r="J426" s="463" t="s">
        <v>68</v>
      </c>
      <c r="K426" s="496" t="s">
        <v>995</v>
      </c>
      <c r="L426" s="100" t="s">
        <v>35</v>
      </c>
      <c r="M426" s="100" t="s">
        <v>36</v>
      </c>
      <c r="N426" s="110">
        <v>230</v>
      </c>
      <c r="O426" s="105">
        <v>229.733</v>
      </c>
      <c r="P426" s="110">
        <v>0</v>
      </c>
      <c r="Q426" s="110">
        <v>0</v>
      </c>
      <c r="R426" s="110">
        <v>0</v>
      </c>
    </row>
    <row r="427" spans="1:18" s="114" customFormat="1" ht="72">
      <c r="A427" s="99" t="s">
        <v>1140</v>
      </c>
      <c r="B427" s="100" t="s">
        <v>583</v>
      </c>
      <c r="C427" s="99"/>
      <c r="D427" s="99"/>
      <c r="E427" s="99"/>
      <c r="F427" s="99"/>
      <c r="G427" s="99"/>
      <c r="H427" s="99"/>
      <c r="I427" s="332" t="s">
        <v>1070</v>
      </c>
      <c r="J427" s="463" t="s">
        <v>68</v>
      </c>
      <c r="K427" s="496" t="s">
        <v>995</v>
      </c>
      <c r="L427" s="100" t="s">
        <v>35</v>
      </c>
      <c r="M427" s="100" t="s">
        <v>36</v>
      </c>
      <c r="N427" s="110">
        <v>159.999</v>
      </c>
      <c r="O427" s="105">
        <v>159.999</v>
      </c>
      <c r="P427" s="110">
        <v>0</v>
      </c>
      <c r="Q427" s="110">
        <v>0</v>
      </c>
      <c r="R427" s="110">
        <v>0</v>
      </c>
    </row>
    <row r="428" spans="1:18" s="114" customFormat="1" ht="60">
      <c r="A428" s="99" t="s">
        <v>1141</v>
      </c>
      <c r="B428" s="100" t="s">
        <v>582</v>
      </c>
      <c r="C428" s="99"/>
      <c r="D428" s="99"/>
      <c r="E428" s="99"/>
      <c r="F428" s="99"/>
      <c r="G428" s="99"/>
      <c r="H428" s="99"/>
      <c r="I428" s="332" t="s">
        <v>1096</v>
      </c>
      <c r="J428" s="463" t="s">
        <v>68</v>
      </c>
      <c r="K428" s="496" t="s">
        <v>1026</v>
      </c>
      <c r="L428" s="100" t="s">
        <v>35</v>
      </c>
      <c r="M428" s="100" t="s">
        <v>36</v>
      </c>
      <c r="N428" s="110">
        <v>386.75</v>
      </c>
      <c r="O428" s="105">
        <v>179.333</v>
      </c>
      <c r="P428" s="110">
        <v>0</v>
      </c>
      <c r="Q428" s="110">
        <v>0</v>
      </c>
      <c r="R428" s="110">
        <v>0</v>
      </c>
    </row>
    <row r="429" spans="1:18" s="114" customFormat="1" ht="60">
      <c r="A429" s="99" t="s">
        <v>1142</v>
      </c>
      <c r="B429" s="100" t="s">
        <v>592</v>
      </c>
      <c r="C429" s="99"/>
      <c r="D429" s="99"/>
      <c r="E429" s="99"/>
      <c r="F429" s="99"/>
      <c r="G429" s="99"/>
      <c r="H429" s="99"/>
      <c r="I429" s="332" t="s">
        <v>1046</v>
      </c>
      <c r="J429" s="463" t="s">
        <v>68</v>
      </c>
      <c r="K429" s="496" t="s">
        <v>1047</v>
      </c>
      <c r="L429" s="100" t="s">
        <v>35</v>
      </c>
      <c r="M429" s="100" t="s">
        <v>36</v>
      </c>
      <c r="N429" s="110">
        <v>99</v>
      </c>
      <c r="O429" s="105">
        <v>99</v>
      </c>
      <c r="P429" s="110">
        <v>0</v>
      </c>
      <c r="Q429" s="110">
        <v>0</v>
      </c>
      <c r="R429" s="110">
        <v>0</v>
      </c>
    </row>
    <row r="430" spans="1:18" s="114" customFormat="1" ht="48">
      <c r="A430" s="99" t="s">
        <v>1143</v>
      </c>
      <c r="B430" s="100" t="s">
        <v>593</v>
      </c>
      <c r="C430" s="99"/>
      <c r="D430" s="99"/>
      <c r="E430" s="99"/>
      <c r="F430" s="99"/>
      <c r="G430" s="99"/>
      <c r="H430" s="99"/>
      <c r="I430" s="332" t="s">
        <v>1060</v>
      </c>
      <c r="J430" s="463" t="s">
        <v>68</v>
      </c>
      <c r="K430" s="496" t="s">
        <v>1061</v>
      </c>
      <c r="L430" s="100" t="s">
        <v>35</v>
      </c>
      <c r="M430" s="100" t="s">
        <v>36</v>
      </c>
      <c r="N430" s="110">
        <v>300</v>
      </c>
      <c r="O430" s="105">
        <v>299.99900000000002</v>
      </c>
      <c r="P430" s="110">
        <v>0</v>
      </c>
      <c r="Q430" s="110">
        <v>0</v>
      </c>
      <c r="R430" s="110">
        <v>0</v>
      </c>
    </row>
    <row r="431" spans="1:18" s="114" customFormat="1" ht="60">
      <c r="A431" s="99" t="s">
        <v>1144</v>
      </c>
      <c r="B431" s="100" t="s">
        <v>728</v>
      </c>
      <c r="C431" s="99"/>
      <c r="D431" s="99"/>
      <c r="E431" s="99"/>
      <c r="F431" s="99"/>
      <c r="G431" s="99"/>
      <c r="H431" s="99"/>
      <c r="I431" s="332" t="s">
        <v>1090</v>
      </c>
      <c r="J431" s="463" t="s">
        <v>68</v>
      </c>
      <c r="K431" s="496" t="s">
        <v>1064</v>
      </c>
      <c r="L431" s="100" t="s">
        <v>35</v>
      </c>
      <c r="M431" s="100" t="s">
        <v>36</v>
      </c>
      <c r="N431" s="110">
        <v>5500</v>
      </c>
      <c r="O431" s="105">
        <v>5500</v>
      </c>
      <c r="P431" s="110">
        <v>0</v>
      </c>
      <c r="Q431" s="110">
        <v>0</v>
      </c>
      <c r="R431" s="110">
        <v>0</v>
      </c>
    </row>
    <row r="432" spans="1:18" s="114" customFormat="1" ht="60">
      <c r="A432" s="99" t="s">
        <v>1145</v>
      </c>
      <c r="B432" s="100" t="s">
        <v>467</v>
      </c>
      <c r="C432" s="99"/>
      <c r="D432" s="99"/>
      <c r="E432" s="99"/>
      <c r="F432" s="99"/>
      <c r="G432" s="99"/>
      <c r="H432" s="99"/>
      <c r="I432" s="332" t="s">
        <v>1237</v>
      </c>
      <c r="J432" s="463" t="s">
        <v>68</v>
      </c>
      <c r="K432" s="496" t="s">
        <v>1238</v>
      </c>
      <c r="L432" s="100" t="s">
        <v>35</v>
      </c>
      <c r="M432" s="100" t="s">
        <v>36</v>
      </c>
      <c r="N432" s="110">
        <v>0</v>
      </c>
      <c r="O432" s="105">
        <v>0</v>
      </c>
      <c r="P432" s="110">
        <v>1460</v>
      </c>
      <c r="Q432" s="110">
        <v>0</v>
      </c>
      <c r="R432" s="110">
        <v>0</v>
      </c>
    </row>
    <row r="433" spans="1:18" s="114" customFormat="1" ht="72">
      <c r="A433" s="99" t="s">
        <v>1146</v>
      </c>
      <c r="B433" s="100" t="s">
        <v>1147</v>
      </c>
      <c r="C433" s="99"/>
      <c r="D433" s="99"/>
      <c r="E433" s="99"/>
      <c r="F433" s="99"/>
      <c r="G433" s="99"/>
      <c r="H433" s="99"/>
      <c r="I433" s="332" t="s">
        <v>1253</v>
      </c>
      <c r="J433" s="463" t="s">
        <v>68</v>
      </c>
      <c r="K433" s="496" t="s">
        <v>1254</v>
      </c>
      <c r="L433" s="100" t="s">
        <v>35</v>
      </c>
      <c r="M433" s="100" t="s">
        <v>36</v>
      </c>
      <c r="N433" s="110">
        <v>0</v>
      </c>
      <c r="O433" s="105">
        <v>0</v>
      </c>
      <c r="P433" s="110">
        <v>0</v>
      </c>
      <c r="Q433" s="110">
        <v>0</v>
      </c>
      <c r="R433" s="110">
        <v>0</v>
      </c>
    </row>
    <row r="434" spans="1:18" s="114" customFormat="1" ht="60">
      <c r="A434" s="99" t="s">
        <v>1148</v>
      </c>
      <c r="B434" s="100" t="s">
        <v>852</v>
      </c>
      <c r="C434" s="99"/>
      <c r="D434" s="99"/>
      <c r="E434" s="99"/>
      <c r="F434" s="99"/>
      <c r="G434" s="99"/>
      <c r="H434" s="99"/>
      <c r="I434" s="332" t="s">
        <v>1249</v>
      </c>
      <c r="J434" s="463" t="s">
        <v>68</v>
      </c>
      <c r="K434" s="496" t="s">
        <v>1247</v>
      </c>
      <c r="L434" s="100" t="s">
        <v>35</v>
      </c>
      <c r="M434" s="100" t="s">
        <v>36</v>
      </c>
      <c r="N434" s="110">
        <v>0</v>
      </c>
      <c r="O434" s="105">
        <v>0</v>
      </c>
      <c r="P434" s="110">
        <v>500</v>
      </c>
      <c r="Q434" s="110">
        <v>0</v>
      </c>
      <c r="R434" s="110">
        <v>0</v>
      </c>
    </row>
    <row r="435" spans="1:18" s="114" customFormat="1" ht="72">
      <c r="A435" s="99" t="s">
        <v>1149</v>
      </c>
      <c r="B435" s="100" t="s">
        <v>538</v>
      </c>
      <c r="C435" s="99"/>
      <c r="D435" s="99"/>
      <c r="E435" s="99"/>
      <c r="F435" s="99"/>
      <c r="G435" s="99"/>
      <c r="H435" s="99"/>
      <c r="I435" s="332" t="s">
        <v>1252</v>
      </c>
      <c r="J435" s="463" t="s">
        <v>68</v>
      </c>
      <c r="K435" s="496" t="s">
        <v>1251</v>
      </c>
      <c r="L435" s="100" t="s">
        <v>35</v>
      </c>
      <c r="M435" s="100" t="s">
        <v>36</v>
      </c>
      <c r="N435" s="110">
        <v>0</v>
      </c>
      <c r="O435" s="105">
        <v>0</v>
      </c>
      <c r="P435" s="110">
        <v>591.36199999999997</v>
      </c>
      <c r="Q435" s="110">
        <v>0</v>
      </c>
      <c r="R435" s="110">
        <v>0</v>
      </c>
    </row>
    <row r="436" spans="1:18" s="114" customFormat="1" ht="72">
      <c r="A436" s="99" t="s">
        <v>1150</v>
      </c>
      <c r="B436" s="100" t="s">
        <v>1151</v>
      </c>
      <c r="C436" s="99"/>
      <c r="D436" s="99"/>
      <c r="E436" s="99"/>
      <c r="F436" s="99"/>
      <c r="G436" s="99"/>
      <c r="H436" s="99"/>
      <c r="I436" s="332" t="s">
        <v>1250</v>
      </c>
      <c r="J436" s="463" t="s">
        <v>68</v>
      </c>
      <c r="K436" s="496" t="s">
        <v>1251</v>
      </c>
      <c r="L436" s="100" t="s">
        <v>35</v>
      </c>
      <c r="M436" s="100" t="s">
        <v>36</v>
      </c>
      <c r="N436" s="110">
        <v>0</v>
      </c>
      <c r="O436" s="105">
        <v>0</v>
      </c>
      <c r="P436" s="110">
        <v>1146.393</v>
      </c>
      <c r="Q436" s="110">
        <v>0</v>
      </c>
      <c r="R436" s="110">
        <v>0</v>
      </c>
    </row>
    <row r="437" spans="1:18" s="114" customFormat="1" ht="51" customHeight="1">
      <c r="A437" s="99" t="s">
        <v>1366</v>
      </c>
      <c r="B437" s="100" t="s">
        <v>477</v>
      </c>
      <c r="C437" s="100"/>
      <c r="D437" s="100"/>
      <c r="E437" s="100"/>
      <c r="F437" s="100"/>
      <c r="G437" s="100"/>
      <c r="H437" s="100"/>
      <c r="I437" s="332" t="s">
        <v>1377</v>
      </c>
      <c r="J437" s="463" t="s">
        <v>68</v>
      </c>
      <c r="K437" s="496" t="s">
        <v>1378</v>
      </c>
      <c r="L437" s="100" t="s">
        <v>35</v>
      </c>
      <c r="M437" s="100" t="s">
        <v>36</v>
      </c>
      <c r="N437" s="110">
        <v>0</v>
      </c>
      <c r="O437" s="105">
        <v>0</v>
      </c>
      <c r="P437" s="110">
        <v>4825</v>
      </c>
      <c r="Q437" s="110">
        <v>0</v>
      </c>
      <c r="R437" s="110">
        <v>0</v>
      </c>
    </row>
    <row r="438" spans="1:18" s="114" customFormat="1" ht="48">
      <c r="A438" s="99" t="s">
        <v>1367</v>
      </c>
      <c r="B438" s="100" t="s">
        <v>476</v>
      </c>
      <c r="C438" s="99"/>
      <c r="D438" s="99"/>
      <c r="E438" s="99"/>
      <c r="F438" s="99"/>
      <c r="G438" s="99"/>
      <c r="H438" s="99"/>
      <c r="I438" s="332" t="s">
        <v>1379</v>
      </c>
      <c r="J438" s="463" t="s">
        <v>68</v>
      </c>
      <c r="K438" s="496" t="s">
        <v>1380</v>
      </c>
      <c r="L438" s="100" t="s">
        <v>35</v>
      </c>
      <c r="M438" s="100" t="s">
        <v>36</v>
      </c>
      <c r="N438" s="110">
        <v>0</v>
      </c>
      <c r="O438" s="105">
        <v>0</v>
      </c>
      <c r="P438" s="110">
        <v>6000</v>
      </c>
      <c r="Q438" s="110">
        <v>0</v>
      </c>
      <c r="R438" s="110">
        <v>0</v>
      </c>
    </row>
    <row r="439" spans="1:18" s="114" customFormat="1" ht="60">
      <c r="A439" s="99" t="s">
        <v>1426</v>
      </c>
      <c r="B439" s="100" t="s">
        <v>1427</v>
      </c>
      <c r="C439" s="99"/>
      <c r="D439" s="99"/>
      <c r="E439" s="99"/>
      <c r="F439" s="99"/>
      <c r="G439" s="99"/>
      <c r="H439" s="99"/>
      <c r="I439" s="332" t="s">
        <v>1436</v>
      </c>
      <c r="J439" s="463" t="s">
        <v>68</v>
      </c>
      <c r="K439" s="496" t="s">
        <v>1437</v>
      </c>
      <c r="L439" s="100" t="s">
        <v>35</v>
      </c>
      <c r="M439" s="100" t="s">
        <v>36</v>
      </c>
      <c r="N439" s="110">
        <v>0</v>
      </c>
      <c r="O439" s="105">
        <v>0</v>
      </c>
      <c r="P439" s="110">
        <v>1542.8</v>
      </c>
      <c r="Q439" s="110">
        <v>0</v>
      </c>
      <c r="R439" s="110">
        <v>0</v>
      </c>
    </row>
    <row r="440" spans="1:18" s="115" customFormat="1" ht="24">
      <c r="A440" s="69" t="s">
        <v>672</v>
      </c>
      <c r="B440" s="104"/>
      <c r="C440" s="69"/>
      <c r="D440" s="69"/>
      <c r="E440" s="69"/>
      <c r="F440" s="69"/>
      <c r="G440" s="69"/>
      <c r="H440" s="69"/>
      <c r="I440" s="12"/>
      <c r="J440" s="12"/>
      <c r="K440" s="13"/>
      <c r="L440" s="104"/>
      <c r="M440" s="104"/>
      <c r="N440" s="69"/>
      <c r="O440" s="98"/>
      <c r="P440" s="69"/>
      <c r="Q440" s="69"/>
      <c r="R440" s="69"/>
    </row>
    <row r="441" spans="1:18" s="114" customFormat="1" ht="108">
      <c r="A441" s="45" t="s">
        <v>673</v>
      </c>
      <c r="B441" s="509" t="s">
        <v>853</v>
      </c>
      <c r="C441" s="45"/>
      <c r="D441" s="45"/>
      <c r="E441" s="45"/>
      <c r="F441" s="410" t="s">
        <v>1329</v>
      </c>
      <c r="G441" s="21" t="s">
        <v>1330</v>
      </c>
      <c r="H441" s="21" t="s">
        <v>1345</v>
      </c>
      <c r="I441" s="21" t="s">
        <v>1240</v>
      </c>
      <c r="J441" s="21" t="s">
        <v>68</v>
      </c>
      <c r="K441" s="21" t="s">
        <v>1241</v>
      </c>
      <c r="L441" s="509" t="s">
        <v>35</v>
      </c>
      <c r="M441" s="509" t="s">
        <v>36</v>
      </c>
      <c r="N441" s="117">
        <v>28493.599999999999</v>
      </c>
      <c r="O441" s="53">
        <v>24123.522000000001</v>
      </c>
      <c r="P441" s="117">
        <v>29199.7</v>
      </c>
      <c r="Q441" s="117">
        <v>0</v>
      </c>
      <c r="R441" s="117">
        <v>0</v>
      </c>
    </row>
    <row r="442" spans="1:18" s="114" customFormat="1" ht="72" customHeight="1">
      <c r="A442" s="99" t="s">
        <v>730</v>
      </c>
      <c r="B442" s="100" t="s">
        <v>974</v>
      </c>
      <c r="C442" s="99"/>
      <c r="D442" s="99"/>
      <c r="E442" s="99"/>
      <c r="F442" s="99"/>
      <c r="G442" s="99"/>
      <c r="H442" s="99"/>
      <c r="I442" s="463" t="s">
        <v>936</v>
      </c>
      <c r="J442" s="463" t="s">
        <v>68</v>
      </c>
      <c r="K442" s="496" t="s">
        <v>937</v>
      </c>
      <c r="L442" s="100" t="s">
        <v>35</v>
      </c>
      <c r="M442" s="100" t="s">
        <v>36</v>
      </c>
      <c r="N442" s="110">
        <v>20783.893</v>
      </c>
      <c r="O442" s="105">
        <v>20783.893</v>
      </c>
      <c r="P442" s="110">
        <v>0</v>
      </c>
      <c r="Q442" s="110">
        <v>0</v>
      </c>
      <c r="R442" s="110">
        <v>0</v>
      </c>
    </row>
    <row r="443" spans="1:18" s="114" customFormat="1" ht="132" customHeight="1">
      <c r="A443" s="99" t="s">
        <v>906</v>
      </c>
      <c r="B443" s="100" t="s">
        <v>507</v>
      </c>
      <c r="C443" s="99"/>
      <c r="D443" s="99"/>
      <c r="E443" s="99"/>
      <c r="F443" s="491" t="s">
        <v>1331</v>
      </c>
      <c r="G443" s="99" t="s">
        <v>1332</v>
      </c>
      <c r="H443" s="99" t="s">
        <v>1345</v>
      </c>
      <c r="I443" s="463" t="s">
        <v>1098</v>
      </c>
      <c r="J443" s="463" t="s">
        <v>68</v>
      </c>
      <c r="K443" s="496" t="s">
        <v>930</v>
      </c>
      <c r="L443" s="100" t="s">
        <v>35</v>
      </c>
      <c r="M443" s="100" t="s">
        <v>36</v>
      </c>
      <c r="N443" s="110">
        <v>3829.5</v>
      </c>
      <c r="O443" s="105">
        <v>3829.1309999999999</v>
      </c>
      <c r="P443" s="110">
        <v>0</v>
      </c>
      <c r="Q443" s="110">
        <v>0</v>
      </c>
      <c r="R443" s="110">
        <v>0</v>
      </c>
    </row>
    <row r="444" spans="1:18" s="114" customFormat="1" ht="36" hidden="1" customHeight="1">
      <c r="A444" s="99" t="s">
        <v>1167</v>
      </c>
      <c r="B444" s="100" t="s">
        <v>1168</v>
      </c>
      <c r="C444" s="99"/>
      <c r="D444" s="99"/>
      <c r="E444" s="99"/>
      <c r="F444" s="99"/>
      <c r="G444" s="99"/>
      <c r="H444" s="99"/>
      <c r="I444" s="463" t="s">
        <v>1270</v>
      </c>
      <c r="J444" s="463"/>
      <c r="K444" s="496"/>
      <c r="L444" s="100" t="s">
        <v>35</v>
      </c>
      <c r="M444" s="100" t="s">
        <v>36</v>
      </c>
      <c r="N444" s="110">
        <v>0</v>
      </c>
      <c r="O444" s="105">
        <v>0</v>
      </c>
      <c r="P444" s="110"/>
      <c r="Q444" s="110">
        <v>0</v>
      </c>
      <c r="R444" s="110">
        <v>0</v>
      </c>
    </row>
    <row r="445" spans="1:18" s="114" customFormat="1" ht="108" hidden="1">
      <c r="A445" s="99" t="s">
        <v>1169</v>
      </c>
      <c r="B445" s="100" t="s">
        <v>1170</v>
      </c>
      <c r="C445" s="99"/>
      <c r="D445" s="99"/>
      <c r="E445" s="99"/>
      <c r="F445" s="491" t="s">
        <v>1359</v>
      </c>
      <c r="G445" s="491" t="s">
        <v>1360</v>
      </c>
      <c r="H445" s="491" t="s">
        <v>1345</v>
      </c>
      <c r="I445" s="463" t="s">
        <v>1270</v>
      </c>
      <c r="J445" s="463"/>
      <c r="K445" s="496"/>
      <c r="L445" s="100" t="s">
        <v>35</v>
      </c>
      <c r="M445" s="100" t="s">
        <v>36</v>
      </c>
      <c r="N445" s="110">
        <v>0</v>
      </c>
      <c r="O445" s="105">
        <v>0</v>
      </c>
      <c r="P445" s="110"/>
      <c r="Q445" s="110">
        <v>0</v>
      </c>
      <c r="R445" s="110">
        <v>0</v>
      </c>
    </row>
    <row r="446" spans="1:18" s="114" customFormat="1" ht="83.25" hidden="1" customHeight="1">
      <c r="A446" s="99" t="s">
        <v>1171</v>
      </c>
      <c r="B446" s="100" t="s">
        <v>1172</v>
      </c>
      <c r="C446" s="99"/>
      <c r="D446" s="99"/>
      <c r="E446" s="99"/>
      <c r="F446" s="491" t="s">
        <v>1359</v>
      </c>
      <c r="G446" s="491" t="s">
        <v>1348</v>
      </c>
      <c r="H446" s="491" t="s">
        <v>1345</v>
      </c>
      <c r="I446" s="463" t="s">
        <v>1270</v>
      </c>
      <c r="J446" s="463"/>
      <c r="K446" s="496"/>
      <c r="L446" s="100" t="s">
        <v>35</v>
      </c>
      <c r="M446" s="100" t="s">
        <v>36</v>
      </c>
      <c r="N446" s="110">
        <v>0</v>
      </c>
      <c r="O446" s="105">
        <v>0</v>
      </c>
      <c r="P446" s="110"/>
      <c r="Q446" s="110">
        <v>0</v>
      </c>
      <c r="R446" s="110">
        <v>0</v>
      </c>
    </row>
    <row r="447" spans="1:18" s="115" customFormat="1" ht="181.5" customHeight="1">
      <c r="A447" s="55" t="s">
        <v>674</v>
      </c>
      <c r="B447" s="468">
        <v>2304</v>
      </c>
      <c r="C447" s="55" t="s">
        <v>31</v>
      </c>
      <c r="D447" s="55" t="s">
        <v>31</v>
      </c>
      <c r="E447" s="55" t="s">
        <v>31</v>
      </c>
      <c r="F447" s="55" t="s">
        <v>31</v>
      </c>
      <c r="G447" s="55" t="s">
        <v>31</v>
      </c>
      <c r="H447" s="55" t="s">
        <v>31</v>
      </c>
      <c r="I447" s="55" t="s">
        <v>31</v>
      </c>
      <c r="J447" s="55" t="s">
        <v>31</v>
      </c>
      <c r="K447" s="55" t="s">
        <v>31</v>
      </c>
      <c r="L447" s="473"/>
      <c r="M447" s="473"/>
      <c r="N447" s="56">
        <f>SUM(N448:N454)</f>
        <v>52666.077000000005</v>
      </c>
      <c r="O447" s="56">
        <f>SUM(O448:O454)</f>
        <v>52665.917000000001</v>
      </c>
      <c r="P447" s="56">
        <f>SUM(P448:P454)</f>
        <v>46801.377999999997</v>
      </c>
      <c r="Q447" s="56">
        <f t="shared" ref="Q447:R447" si="81">SUM(Q448:Q454)</f>
        <v>0</v>
      </c>
      <c r="R447" s="56">
        <f t="shared" si="81"/>
        <v>2957</v>
      </c>
    </row>
    <row r="448" spans="1:18" s="114" customFormat="1" ht="70.5" customHeight="1">
      <c r="A448" s="52" t="s">
        <v>1058</v>
      </c>
      <c r="B448" s="508" t="s">
        <v>1065</v>
      </c>
      <c r="C448" s="52"/>
      <c r="D448" s="52"/>
      <c r="E448" s="52"/>
      <c r="F448" s="52"/>
      <c r="G448" s="52"/>
      <c r="H448" s="95"/>
      <c r="I448" s="472" t="s">
        <v>1094</v>
      </c>
      <c r="J448" s="472" t="s">
        <v>68</v>
      </c>
      <c r="K448" s="472" t="s">
        <v>1095</v>
      </c>
      <c r="L448" s="76" t="s">
        <v>37</v>
      </c>
      <c r="M448" s="508" t="s">
        <v>38</v>
      </c>
      <c r="N448" s="20">
        <v>4426.3109999999997</v>
      </c>
      <c r="O448" s="20">
        <v>4426.3109999999997</v>
      </c>
      <c r="P448" s="20">
        <v>0</v>
      </c>
      <c r="Q448" s="20">
        <v>0</v>
      </c>
      <c r="R448" s="170">
        <v>0</v>
      </c>
    </row>
    <row r="449" spans="1:18" s="114" customFormat="1" ht="84">
      <c r="A449" s="52" t="s">
        <v>678</v>
      </c>
      <c r="B449" s="508" t="s">
        <v>317</v>
      </c>
      <c r="C449" s="52"/>
      <c r="D449" s="52"/>
      <c r="E449" s="52"/>
      <c r="F449" s="52"/>
      <c r="G449" s="52"/>
      <c r="H449" s="52"/>
      <c r="I449" s="412" t="s">
        <v>1120</v>
      </c>
      <c r="J449" s="461" t="s">
        <v>68</v>
      </c>
      <c r="K449" s="461" t="s">
        <v>1236</v>
      </c>
      <c r="L449" s="76" t="s">
        <v>37</v>
      </c>
      <c r="M449" s="508" t="s">
        <v>38</v>
      </c>
      <c r="N449" s="20">
        <v>5760</v>
      </c>
      <c r="O449" s="20">
        <v>5760</v>
      </c>
      <c r="P449" s="20">
        <v>2957</v>
      </c>
      <c r="Q449" s="20">
        <v>0</v>
      </c>
      <c r="R449" s="170">
        <v>2957</v>
      </c>
    </row>
    <row r="450" spans="1:18" s="114" customFormat="1" ht="84">
      <c r="A450" s="48"/>
      <c r="B450" s="72"/>
      <c r="C450" s="48"/>
      <c r="D450" s="48"/>
      <c r="E450" s="48"/>
      <c r="F450" s="45"/>
      <c r="G450" s="45"/>
      <c r="H450" s="45"/>
      <c r="I450" s="322" t="s">
        <v>1121</v>
      </c>
      <c r="J450" s="462" t="s">
        <v>68</v>
      </c>
      <c r="K450" s="462" t="s">
        <v>80</v>
      </c>
      <c r="L450" s="448"/>
      <c r="M450" s="448"/>
      <c r="N450" s="58"/>
      <c r="O450" s="58"/>
      <c r="P450" s="58"/>
      <c r="Q450" s="58"/>
      <c r="R450" s="173"/>
    </row>
    <row r="451" spans="1:18" s="114" customFormat="1" ht="81.75" customHeight="1">
      <c r="A451" s="589" t="s">
        <v>870</v>
      </c>
      <c r="B451" s="518" t="s">
        <v>539</v>
      </c>
      <c r="C451" s="46"/>
      <c r="D451" s="46"/>
      <c r="E451" s="46"/>
      <c r="F451" s="613" t="s">
        <v>1333</v>
      </c>
      <c r="G451" s="613" t="s">
        <v>1334</v>
      </c>
      <c r="H451" s="613" t="s">
        <v>1345</v>
      </c>
      <c r="I451" s="614" t="s">
        <v>1441</v>
      </c>
      <c r="J451" s="614" t="s">
        <v>68</v>
      </c>
      <c r="K451" s="614" t="s">
        <v>1442</v>
      </c>
      <c r="L451" s="76" t="s">
        <v>37</v>
      </c>
      <c r="M451" s="508" t="s">
        <v>38</v>
      </c>
      <c r="N451" s="20">
        <v>40222.767</v>
      </c>
      <c r="O451" s="20">
        <v>40222.767</v>
      </c>
      <c r="P451" s="20">
        <v>39500</v>
      </c>
      <c r="Q451" s="20">
        <v>0</v>
      </c>
      <c r="R451" s="20">
        <v>0</v>
      </c>
    </row>
    <row r="452" spans="1:18" s="114" customFormat="1" ht="62.25" customHeight="1">
      <c r="A452" s="590"/>
      <c r="B452" s="100" t="s">
        <v>482</v>
      </c>
      <c r="C452" s="501"/>
      <c r="D452" s="501"/>
      <c r="E452" s="501"/>
      <c r="F452" s="613"/>
      <c r="G452" s="613"/>
      <c r="H452" s="613"/>
      <c r="I452" s="544"/>
      <c r="J452" s="544"/>
      <c r="K452" s="544"/>
      <c r="L452" s="100" t="s">
        <v>37</v>
      </c>
      <c r="M452" s="100" t="s">
        <v>38</v>
      </c>
      <c r="N452" s="105">
        <v>0</v>
      </c>
      <c r="O452" s="105">
        <v>0</v>
      </c>
      <c r="P452" s="105">
        <v>4344.3779999999997</v>
      </c>
      <c r="Q452" s="105">
        <v>0</v>
      </c>
      <c r="R452" s="105">
        <v>0</v>
      </c>
    </row>
    <row r="453" spans="1:18" s="114" customFormat="1" ht="96">
      <c r="A453" s="479" t="s">
        <v>1266</v>
      </c>
      <c r="B453" s="100" t="s">
        <v>580</v>
      </c>
      <c r="C453" s="491"/>
      <c r="D453" s="491"/>
      <c r="E453" s="491"/>
      <c r="F453" s="491"/>
      <c r="G453" s="491"/>
      <c r="H453" s="491"/>
      <c r="I453" s="472" t="s">
        <v>1025</v>
      </c>
      <c r="J453" s="472" t="s">
        <v>68</v>
      </c>
      <c r="K453" s="472" t="s">
        <v>995</v>
      </c>
      <c r="L453" s="100" t="s">
        <v>37</v>
      </c>
      <c r="M453" s="100" t="s">
        <v>38</v>
      </c>
      <c r="N453" s="105">
        <v>1257</v>
      </c>
      <c r="O453" s="105">
        <v>1256.8399999999999</v>
      </c>
      <c r="P453" s="105">
        <v>0</v>
      </c>
      <c r="Q453" s="105">
        <v>0</v>
      </c>
      <c r="R453" s="105">
        <v>0</v>
      </c>
    </row>
    <row r="454" spans="1:18" s="114" customFormat="1" ht="227.25" customHeight="1">
      <c r="A454" s="479" t="s">
        <v>1267</v>
      </c>
      <c r="B454" s="100" t="s">
        <v>946</v>
      </c>
      <c r="C454" s="491"/>
      <c r="D454" s="491"/>
      <c r="E454" s="491"/>
      <c r="F454" s="491" t="s">
        <v>1335</v>
      </c>
      <c r="G454" s="491" t="s">
        <v>68</v>
      </c>
      <c r="H454" s="491" t="s">
        <v>1336</v>
      </c>
      <c r="I454" s="472" t="s">
        <v>1007</v>
      </c>
      <c r="J454" s="472" t="s">
        <v>68</v>
      </c>
      <c r="K454" s="472" t="s">
        <v>965</v>
      </c>
      <c r="L454" s="100" t="s">
        <v>37</v>
      </c>
      <c r="M454" s="100" t="s">
        <v>38</v>
      </c>
      <c r="N454" s="105">
        <v>999.99900000000002</v>
      </c>
      <c r="O454" s="105">
        <v>999.99900000000002</v>
      </c>
      <c r="P454" s="105">
        <v>0</v>
      </c>
      <c r="Q454" s="105">
        <v>0</v>
      </c>
      <c r="R454" s="105">
        <v>0</v>
      </c>
    </row>
    <row r="455" spans="1:18" s="115" customFormat="1" ht="120" customHeight="1">
      <c r="A455" s="103" t="s">
        <v>675</v>
      </c>
      <c r="B455" s="334" t="s">
        <v>676</v>
      </c>
      <c r="C455" s="55"/>
      <c r="D455" s="55"/>
      <c r="E455" s="55"/>
      <c r="F455" s="55"/>
      <c r="G455" s="55"/>
      <c r="H455" s="50"/>
      <c r="I455" s="32"/>
      <c r="J455" s="32"/>
      <c r="K455" s="32"/>
      <c r="L455" s="60"/>
      <c r="M455" s="468"/>
      <c r="N455" s="56">
        <f>SUM(N456:N457)</f>
        <v>298.64400000000001</v>
      </c>
      <c r="O455" s="56">
        <f>SUM(O456:O457)</f>
        <v>298.64400000000001</v>
      </c>
      <c r="P455" s="56">
        <f>SUM(P456:P457)</f>
        <v>0</v>
      </c>
      <c r="Q455" s="56">
        <f t="shared" ref="Q455:R455" si="82">SUM(Q456:Q457)</f>
        <v>128</v>
      </c>
      <c r="R455" s="56">
        <f t="shared" si="82"/>
        <v>128</v>
      </c>
    </row>
    <row r="456" spans="1:18" s="114" customFormat="1" ht="60">
      <c r="A456" s="99" t="s">
        <v>731</v>
      </c>
      <c r="B456" s="100" t="s">
        <v>496</v>
      </c>
      <c r="C456" s="99"/>
      <c r="D456" s="99"/>
      <c r="E456" s="99"/>
      <c r="F456" s="99"/>
      <c r="G456" s="99"/>
      <c r="H456" s="99"/>
      <c r="I456" s="497" t="s">
        <v>1071</v>
      </c>
      <c r="J456" s="101" t="s">
        <v>68</v>
      </c>
      <c r="K456" s="101" t="s">
        <v>1026</v>
      </c>
      <c r="L456" s="100" t="s">
        <v>35</v>
      </c>
      <c r="M456" s="100" t="s">
        <v>32</v>
      </c>
      <c r="N456" s="105">
        <v>298.64400000000001</v>
      </c>
      <c r="O456" s="105">
        <v>298.64400000000001</v>
      </c>
      <c r="P456" s="105">
        <v>0</v>
      </c>
      <c r="Q456" s="105">
        <v>0</v>
      </c>
      <c r="R456" s="105">
        <v>0</v>
      </c>
    </row>
    <row r="457" spans="1:18" s="114" customFormat="1" ht="106.5" customHeight="1">
      <c r="A457" s="54" t="s">
        <v>1268</v>
      </c>
      <c r="B457" s="519" t="s">
        <v>540</v>
      </c>
      <c r="C457" s="54"/>
      <c r="D457" s="54"/>
      <c r="E457" s="54"/>
      <c r="F457" s="464" t="s">
        <v>1337</v>
      </c>
      <c r="G457" s="464" t="s">
        <v>1338</v>
      </c>
      <c r="H457" s="464" t="s">
        <v>1351</v>
      </c>
      <c r="I457" s="529" t="s">
        <v>1473</v>
      </c>
      <c r="J457" s="99"/>
      <c r="K457" s="99"/>
      <c r="L457" s="57" t="s">
        <v>35</v>
      </c>
      <c r="M457" s="459" t="s">
        <v>32</v>
      </c>
      <c r="N457" s="53">
        <v>0</v>
      </c>
      <c r="O457" s="53">
        <v>0</v>
      </c>
      <c r="P457" s="53">
        <v>0</v>
      </c>
      <c r="Q457" s="53">
        <v>128</v>
      </c>
      <c r="R457" s="171">
        <v>128</v>
      </c>
    </row>
    <row r="458" spans="1:18" s="114" customFormat="1" ht="15.75" customHeight="1">
      <c r="A458" s="587" t="s">
        <v>1072</v>
      </c>
      <c r="B458" s="102" t="s">
        <v>677</v>
      </c>
      <c r="C458" s="96"/>
      <c r="D458" s="96"/>
      <c r="E458" s="96"/>
      <c r="F458" s="96"/>
      <c r="G458" s="96"/>
      <c r="H458" s="96"/>
      <c r="I458" s="491"/>
      <c r="J458" s="491"/>
      <c r="K458" s="491"/>
      <c r="L458" s="102" t="s">
        <v>37</v>
      </c>
      <c r="M458" s="102" t="s">
        <v>40</v>
      </c>
      <c r="N458" s="97">
        <f>SUM(N459:N460)</f>
        <v>18666.667000000001</v>
      </c>
      <c r="O458" s="97">
        <f t="shared" ref="O458:R458" si="83">SUM(O459:O460)</f>
        <v>18666.667000000001</v>
      </c>
      <c r="P458" s="97">
        <f t="shared" si="83"/>
        <v>0</v>
      </c>
      <c r="Q458" s="97">
        <f t="shared" si="83"/>
        <v>0</v>
      </c>
      <c r="R458" s="97">
        <f t="shared" si="83"/>
        <v>0</v>
      </c>
    </row>
    <row r="459" spans="1:18" s="114" customFormat="1" ht="60">
      <c r="A459" s="588"/>
      <c r="B459" s="100" t="s">
        <v>952</v>
      </c>
      <c r="C459" s="69"/>
      <c r="D459" s="69"/>
      <c r="E459" s="69"/>
      <c r="F459" s="69"/>
      <c r="G459" s="69"/>
      <c r="H459" s="69"/>
      <c r="I459" s="491" t="s">
        <v>958</v>
      </c>
      <c r="J459" s="491" t="s">
        <v>68</v>
      </c>
      <c r="K459" s="491" t="s">
        <v>959</v>
      </c>
      <c r="L459" s="104"/>
      <c r="M459" s="104"/>
      <c r="N459" s="105">
        <v>4666.6670000000004</v>
      </c>
      <c r="O459" s="105">
        <v>4666.6670000000004</v>
      </c>
      <c r="P459" s="105">
        <v>0</v>
      </c>
      <c r="Q459" s="105">
        <v>0</v>
      </c>
      <c r="R459" s="105">
        <v>0</v>
      </c>
    </row>
    <row r="460" spans="1:18" s="114" customFormat="1" ht="97.5" customHeight="1">
      <c r="A460" s="337"/>
      <c r="B460" s="338" t="s">
        <v>594</v>
      </c>
      <c r="C460" s="277"/>
      <c r="D460" s="277"/>
      <c r="E460" s="277"/>
      <c r="F460" s="285" t="s">
        <v>1333</v>
      </c>
      <c r="G460" s="285" t="s">
        <v>1339</v>
      </c>
      <c r="H460" s="285" t="s">
        <v>1351</v>
      </c>
      <c r="I460" s="345" t="s">
        <v>971</v>
      </c>
      <c r="J460" s="346" t="s">
        <v>68</v>
      </c>
      <c r="K460" s="346" t="s">
        <v>972</v>
      </c>
      <c r="L460" s="285"/>
      <c r="M460" s="285"/>
      <c r="N460" s="339">
        <v>14000</v>
      </c>
      <c r="O460" s="339">
        <v>14000</v>
      </c>
      <c r="P460" s="339">
        <v>0</v>
      </c>
      <c r="Q460" s="339">
        <v>0</v>
      </c>
      <c r="R460" s="538">
        <v>0</v>
      </c>
    </row>
    <row r="461" spans="1:18" s="114" customFormat="1" ht="60" hidden="1">
      <c r="A461" s="69" t="s">
        <v>679</v>
      </c>
      <c r="B461" s="104" t="s">
        <v>680</v>
      </c>
      <c r="C461" s="69"/>
      <c r="D461" s="69"/>
      <c r="E461" s="69"/>
      <c r="F461" s="69"/>
      <c r="G461" s="69"/>
      <c r="H461" s="69"/>
      <c r="I461" s="491"/>
      <c r="J461" s="491"/>
      <c r="K461" s="491"/>
      <c r="L461" s="104"/>
      <c r="M461" s="104"/>
      <c r="N461" s="98">
        <f>SUM(N462:N463)</f>
        <v>0</v>
      </c>
      <c r="O461" s="98">
        <f>SUM(O462:O463)</f>
        <v>0</v>
      </c>
      <c r="P461" s="98">
        <f>SUM(P462:P463)</f>
        <v>0</v>
      </c>
      <c r="Q461" s="98">
        <f>SUM(Q462:Q463)</f>
        <v>0</v>
      </c>
      <c r="R461" s="98">
        <f>SUM(R462:R463)</f>
        <v>0</v>
      </c>
    </row>
    <row r="462" spans="1:18" s="114" customFormat="1" ht="60" hidden="1">
      <c r="A462" s="99" t="s">
        <v>681</v>
      </c>
      <c r="B462" s="100" t="s">
        <v>487</v>
      </c>
      <c r="C462" s="99"/>
      <c r="D462" s="99"/>
      <c r="E462" s="99"/>
      <c r="F462" s="99"/>
      <c r="G462" s="99"/>
      <c r="H462" s="99"/>
      <c r="I462" s="491" t="s">
        <v>570</v>
      </c>
      <c r="J462" s="491" t="s">
        <v>68</v>
      </c>
      <c r="K462" s="491" t="s">
        <v>571</v>
      </c>
      <c r="L462" s="100" t="s">
        <v>32</v>
      </c>
      <c r="M462" s="100" t="s">
        <v>26</v>
      </c>
      <c r="N462" s="105">
        <v>0</v>
      </c>
      <c r="O462" s="105">
        <v>0</v>
      </c>
      <c r="P462" s="105">
        <v>0</v>
      </c>
      <c r="Q462" s="105">
        <v>0</v>
      </c>
      <c r="R462" s="105">
        <v>0</v>
      </c>
    </row>
    <row r="463" spans="1:18" s="114" customFormat="1" ht="84" hidden="1">
      <c r="A463" s="99" t="s">
        <v>832</v>
      </c>
      <c r="B463" s="100" t="s">
        <v>584</v>
      </c>
      <c r="C463" s="99"/>
      <c r="D463" s="99"/>
      <c r="E463" s="99"/>
      <c r="F463" s="99"/>
      <c r="G463" s="99"/>
      <c r="H463" s="99"/>
      <c r="I463" s="472" t="s">
        <v>804</v>
      </c>
      <c r="J463" s="472" t="s">
        <v>68</v>
      </c>
      <c r="K463" s="472" t="s">
        <v>591</v>
      </c>
      <c r="L463" s="100" t="s">
        <v>32</v>
      </c>
      <c r="M463" s="100" t="s">
        <v>26</v>
      </c>
      <c r="N463" s="105">
        <v>0</v>
      </c>
      <c r="O463" s="105">
        <v>0</v>
      </c>
      <c r="P463" s="105">
        <v>0</v>
      </c>
      <c r="Q463" s="105">
        <v>0</v>
      </c>
      <c r="R463" s="105">
        <v>0</v>
      </c>
    </row>
    <row r="464" spans="1:18" s="115" customFormat="1" ht="49.5" hidden="1" customHeight="1">
      <c r="A464" s="55" t="s">
        <v>682</v>
      </c>
      <c r="B464" s="468">
        <v>2313</v>
      </c>
      <c r="C464" s="55" t="s">
        <v>31</v>
      </c>
      <c r="D464" s="55" t="s">
        <v>31</v>
      </c>
      <c r="E464" s="55" t="s">
        <v>31</v>
      </c>
      <c r="F464" s="55" t="s">
        <v>31</v>
      </c>
      <c r="G464" s="55" t="s">
        <v>31</v>
      </c>
      <c r="H464" s="55" t="s">
        <v>31</v>
      </c>
      <c r="I464" s="55" t="s">
        <v>31</v>
      </c>
      <c r="J464" s="55" t="s">
        <v>31</v>
      </c>
      <c r="K464" s="55" t="s">
        <v>31</v>
      </c>
      <c r="L464" s="468" t="s">
        <v>41</v>
      </c>
      <c r="M464" s="468" t="s">
        <v>38</v>
      </c>
      <c r="N464" s="56">
        <f>SUM(N465:N466)</f>
        <v>0</v>
      </c>
      <c r="O464" s="56">
        <f>SUM(O465:O466)</f>
        <v>0</v>
      </c>
      <c r="P464" s="56">
        <f>SUM(P465:P466)</f>
        <v>0</v>
      </c>
      <c r="Q464" s="56">
        <f>SUM(Q465:Q466)</f>
        <v>0</v>
      </c>
      <c r="R464" s="56">
        <f>SUM(R465:R466)</f>
        <v>0</v>
      </c>
    </row>
    <row r="465" spans="1:19" s="114" customFormat="1" ht="60" hidden="1">
      <c r="A465" s="191" t="s">
        <v>732</v>
      </c>
      <c r="B465" s="192" t="s">
        <v>488</v>
      </c>
      <c r="C465" s="191"/>
      <c r="D465" s="191"/>
      <c r="E465" s="191"/>
      <c r="F465" s="199"/>
      <c r="G465" s="199"/>
      <c r="H465" s="199"/>
      <c r="I465" s="323" t="s">
        <v>577</v>
      </c>
      <c r="J465" s="323" t="s">
        <v>68</v>
      </c>
      <c r="K465" s="323" t="s">
        <v>578</v>
      </c>
      <c r="L465" s="192" t="s">
        <v>41</v>
      </c>
      <c r="M465" s="192" t="s">
        <v>38</v>
      </c>
      <c r="N465" s="271">
        <v>0</v>
      </c>
      <c r="O465" s="271">
        <v>0</v>
      </c>
      <c r="P465" s="271">
        <v>0</v>
      </c>
      <c r="Q465" s="271">
        <v>0</v>
      </c>
      <c r="R465" s="272">
        <v>0</v>
      </c>
    </row>
    <row r="466" spans="1:19" s="114" customFormat="1" ht="72" hidden="1">
      <c r="A466" s="99" t="s">
        <v>733</v>
      </c>
      <c r="B466" s="100" t="s">
        <v>512</v>
      </c>
      <c r="C466" s="99"/>
      <c r="D466" s="99"/>
      <c r="E466" s="99"/>
      <c r="F466" s="200"/>
      <c r="G466" s="200"/>
      <c r="H466" s="200"/>
      <c r="I466" s="463" t="s">
        <v>596</v>
      </c>
      <c r="J466" s="463" t="s">
        <v>68</v>
      </c>
      <c r="K466" s="463" t="s">
        <v>597</v>
      </c>
      <c r="L466" s="100" t="s">
        <v>41</v>
      </c>
      <c r="M466" s="100" t="s">
        <v>38</v>
      </c>
      <c r="N466" s="105">
        <v>0</v>
      </c>
      <c r="O466" s="105">
        <v>0</v>
      </c>
      <c r="P466" s="105">
        <v>0</v>
      </c>
      <c r="Q466" s="105">
        <v>0</v>
      </c>
      <c r="R466" s="105">
        <v>0</v>
      </c>
    </row>
    <row r="467" spans="1:19" s="115" customFormat="1" ht="72">
      <c r="A467" s="93" t="s">
        <v>683</v>
      </c>
      <c r="B467" s="473" t="s">
        <v>1369</v>
      </c>
      <c r="C467" s="93" t="s">
        <v>31</v>
      </c>
      <c r="D467" s="93" t="s">
        <v>31</v>
      </c>
      <c r="E467" s="93" t="s">
        <v>31</v>
      </c>
      <c r="F467" s="93" t="s">
        <v>31</v>
      </c>
      <c r="G467" s="93" t="s">
        <v>31</v>
      </c>
      <c r="H467" s="93" t="s">
        <v>31</v>
      </c>
      <c r="I467" s="448" t="s">
        <v>1372</v>
      </c>
      <c r="J467" s="48" t="s">
        <v>68</v>
      </c>
      <c r="K467" s="448" t="s">
        <v>1373</v>
      </c>
      <c r="L467" s="458" t="s">
        <v>41</v>
      </c>
      <c r="M467" s="458" t="s">
        <v>23</v>
      </c>
      <c r="N467" s="137">
        <f>SUM(N468:N468)</f>
        <v>0</v>
      </c>
      <c r="O467" s="137">
        <f>SUM(O468:O468)</f>
        <v>0</v>
      </c>
      <c r="P467" s="137">
        <v>150</v>
      </c>
      <c r="Q467" s="137">
        <f>SUM(Q468:Q468)</f>
        <v>0</v>
      </c>
      <c r="R467" s="137">
        <f>SUM(R468:R468)</f>
        <v>0</v>
      </c>
    </row>
    <row r="468" spans="1:19" s="114" customFormat="1" ht="12" hidden="1">
      <c r="A468" s="481"/>
      <c r="B468" s="74"/>
      <c r="C468" s="106"/>
      <c r="D468" s="106"/>
      <c r="E468" s="106"/>
      <c r="F468" s="106"/>
      <c r="G468" s="106"/>
      <c r="H468" s="106"/>
      <c r="I468" s="441"/>
      <c r="J468" s="441"/>
      <c r="K468" s="505"/>
      <c r="L468" s="74"/>
      <c r="M468" s="74"/>
      <c r="N468" s="107"/>
      <c r="O468" s="107"/>
      <c r="P468" s="107"/>
      <c r="Q468" s="107"/>
      <c r="R468" s="107"/>
    </row>
    <row r="469" spans="1:19" s="115" customFormat="1" ht="48" customHeight="1">
      <c r="A469" s="96" t="s">
        <v>684</v>
      </c>
      <c r="B469" s="484">
        <v>2315</v>
      </c>
      <c r="C469" s="96"/>
      <c r="D469" s="96"/>
      <c r="E469" s="96"/>
      <c r="F469" s="96"/>
      <c r="G469" s="96"/>
      <c r="H469" s="96"/>
      <c r="I469" s="526"/>
      <c r="J469" s="526"/>
      <c r="K469" s="526"/>
      <c r="L469" s="102"/>
      <c r="M469" s="102"/>
      <c r="N469" s="97">
        <f>SUM(N470:N478)</f>
        <v>37765.525999999998</v>
      </c>
      <c r="O469" s="97">
        <f t="shared" ref="O469" si="84">SUM(O470:O478)</f>
        <v>37709.495999999999</v>
      </c>
      <c r="P469" s="97">
        <f>SUM(P470:P479)</f>
        <v>7868.2329</v>
      </c>
      <c r="Q469" s="97">
        <f t="shared" ref="Q469:R469" si="85">SUM(Q470:Q479)</f>
        <v>0</v>
      </c>
      <c r="R469" s="97">
        <f t="shared" si="85"/>
        <v>0</v>
      </c>
    </row>
    <row r="470" spans="1:19" s="114" customFormat="1" ht="96" customHeight="1">
      <c r="A470" s="99" t="s">
        <v>1356</v>
      </c>
      <c r="B470" s="100" t="s">
        <v>1355</v>
      </c>
      <c r="C470" s="99"/>
      <c r="D470" s="99"/>
      <c r="E470" s="99"/>
      <c r="F470" s="420" t="s">
        <v>1357</v>
      </c>
      <c r="G470" s="491" t="s">
        <v>1358</v>
      </c>
      <c r="H470" s="491" t="s">
        <v>1345</v>
      </c>
      <c r="I470" s="24" t="s">
        <v>931</v>
      </c>
      <c r="J470" s="24" t="s">
        <v>68</v>
      </c>
      <c r="K470" s="24" t="s">
        <v>930</v>
      </c>
      <c r="L470" s="100" t="s">
        <v>37</v>
      </c>
      <c r="M470" s="100" t="s">
        <v>23</v>
      </c>
      <c r="N470" s="105">
        <v>1500</v>
      </c>
      <c r="O470" s="105">
        <v>1464.84</v>
      </c>
      <c r="P470" s="105">
        <v>0</v>
      </c>
      <c r="Q470" s="105">
        <v>0</v>
      </c>
      <c r="R470" s="105">
        <v>0</v>
      </c>
    </row>
    <row r="471" spans="1:19" s="114" customFormat="1" ht="48">
      <c r="A471" s="561" t="s">
        <v>908</v>
      </c>
      <c r="B471" s="100" t="s">
        <v>896</v>
      </c>
      <c r="C471" s="625"/>
      <c r="D471" s="625"/>
      <c r="E471" s="625"/>
      <c r="F471" s="624"/>
      <c r="G471" s="624"/>
      <c r="H471" s="624"/>
      <c r="I471" s="442" t="s">
        <v>1022</v>
      </c>
      <c r="J471" s="358" t="s">
        <v>68</v>
      </c>
      <c r="K471" s="358" t="s">
        <v>1021</v>
      </c>
      <c r="L471" s="100" t="s">
        <v>37</v>
      </c>
      <c r="M471" s="100" t="s">
        <v>35</v>
      </c>
      <c r="N471" s="347">
        <v>802.68100000000004</v>
      </c>
      <c r="O471" s="347">
        <v>802.68100000000004</v>
      </c>
      <c r="P471" s="347">
        <v>0</v>
      </c>
      <c r="Q471" s="347">
        <v>0</v>
      </c>
      <c r="R471" s="347">
        <v>0</v>
      </c>
      <c r="S471" s="351"/>
    </row>
    <row r="472" spans="1:19" s="114" customFormat="1" ht="24.75" customHeight="1">
      <c r="A472" s="561"/>
      <c r="B472" s="100" t="s">
        <v>898</v>
      </c>
      <c r="C472" s="626"/>
      <c r="D472" s="626"/>
      <c r="E472" s="626"/>
      <c r="F472" s="540"/>
      <c r="G472" s="540"/>
      <c r="H472" s="540"/>
      <c r="I472" s="551" t="s">
        <v>1020</v>
      </c>
      <c r="J472" s="551" t="s">
        <v>68</v>
      </c>
      <c r="K472" s="551" t="s">
        <v>1021</v>
      </c>
      <c r="L472" s="100" t="s">
        <v>37</v>
      </c>
      <c r="M472" s="100" t="s">
        <v>35</v>
      </c>
      <c r="N472" s="347">
        <v>404.47500000000002</v>
      </c>
      <c r="O472" s="347">
        <v>404.47500000000002</v>
      </c>
      <c r="P472" s="347">
        <v>0</v>
      </c>
      <c r="Q472" s="347">
        <v>0</v>
      </c>
      <c r="R472" s="347">
        <v>0</v>
      </c>
    </row>
    <row r="473" spans="1:19" s="114" customFormat="1" ht="24.75" customHeight="1">
      <c r="A473" s="561"/>
      <c r="B473" s="100" t="s">
        <v>899</v>
      </c>
      <c r="C473" s="626"/>
      <c r="D473" s="626"/>
      <c r="E473" s="626"/>
      <c r="F473" s="540"/>
      <c r="G473" s="540"/>
      <c r="H473" s="540"/>
      <c r="I473" s="551"/>
      <c r="J473" s="551"/>
      <c r="K473" s="551"/>
      <c r="L473" s="100" t="s">
        <v>37</v>
      </c>
      <c r="M473" s="100" t="s">
        <v>35</v>
      </c>
      <c r="N473" s="347">
        <v>82.843999999999994</v>
      </c>
      <c r="O473" s="347">
        <v>82.843999999999994</v>
      </c>
      <c r="P473" s="347">
        <v>0</v>
      </c>
      <c r="Q473" s="347">
        <v>0</v>
      </c>
      <c r="R473" s="347">
        <v>0</v>
      </c>
    </row>
    <row r="474" spans="1:19" s="114" customFormat="1" ht="60">
      <c r="A474" s="561"/>
      <c r="B474" s="100" t="s">
        <v>503</v>
      </c>
      <c r="C474" s="627"/>
      <c r="D474" s="627"/>
      <c r="E474" s="627"/>
      <c r="F474" s="628"/>
      <c r="G474" s="628"/>
      <c r="H474" s="628"/>
      <c r="I474" s="443" t="s">
        <v>1005</v>
      </c>
      <c r="J474" s="354" t="s">
        <v>68</v>
      </c>
      <c r="K474" s="354" t="s">
        <v>995</v>
      </c>
      <c r="L474" s="100" t="s">
        <v>37</v>
      </c>
      <c r="M474" s="100" t="s">
        <v>35</v>
      </c>
      <c r="N474" s="347">
        <v>430</v>
      </c>
      <c r="O474" s="347">
        <v>430</v>
      </c>
      <c r="P474" s="347">
        <v>0</v>
      </c>
      <c r="Q474" s="347">
        <v>0</v>
      </c>
      <c r="R474" s="347">
        <v>0</v>
      </c>
    </row>
    <row r="475" spans="1:19" s="114" customFormat="1" ht="24.75" customHeight="1">
      <c r="A475" s="609" t="s">
        <v>1352</v>
      </c>
      <c r="B475" s="100" t="s">
        <v>897</v>
      </c>
      <c r="C475" s="625"/>
      <c r="D475" s="625"/>
      <c r="E475" s="625"/>
      <c r="F475" s="624" t="s">
        <v>1353</v>
      </c>
      <c r="G475" s="624" t="s">
        <v>1354</v>
      </c>
      <c r="H475" s="624" t="s">
        <v>1345</v>
      </c>
      <c r="I475" s="543" t="s">
        <v>1088</v>
      </c>
      <c r="J475" s="543" t="s">
        <v>68</v>
      </c>
      <c r="K475" s="543" t="s">
        <v>968</v>
      </c>
      <c r="L475" s="100" t="s">
        <v>37</v>
      </c>
      <c r="M475" s="100" t="s">
        <v>35</v>
      </c>
      <c r="N475" s="347">
        <v>1743.46</v>
      </c>
      <c r="O475" s="347">
        <v>1726.62</v>
      </c>
      <c r="P475" s="347">
        <v>0</v>
      </c>
      <c r="Q475" s="347">
        <v>0</v>
      </c>
      <c r="R475" s="347">
        <v>0</v>
      </c>
    </row>
    <row r="476" spans="1:19" s="114" customFormat="1" ht="24.75" customHeight="1">
      <c r="A476" s="546"/>
      <c r="B476" s="100" t="s">
        <v>900</v>
      </c>
      <c r="C476" s="626"/>
      <c r="D476" s="626"/>
      <c r="E476" s="626"/>
      <c r="F476" s="540"/>
      <c r="G476" s="540"/>
      <c r="H476" s="540"/>
      <c r="I476" s="637"/>
      <c r="J476" s="637"/>
      <c r="K476" s="637"/>
      <c r="L476" s="100" t="s">
        <v>37</v>
      </c>
      <c r="M476" s="100" t="s">
        <v>35</v>
      </c>
      <c r="N476" s="347">
        <v>21689</v>
      </c>
      <c r="O476" s="347">
        <v>21689</v>
      </c>
      <c r="P476" s="347">
        <v>0</v>
      </c>
      <c r="Q476" s="347">
        <v>0</v>
      </c>
      <c r="R476" s="347">
        <v>0</v>
      </c>
    </row>
    <row r="477" spans="1:19" s="114" customFormat="1" ht="24.75" customHeight="1">
      <c r="A477" s="546"/>
      <c r="B477" s="100" t="s">
        <v>901</v>
      </c>
      <c r="C477" s="626"/>
      <c r="D477" s="626"/>
      <c r="E477" s="626"/>
      <c r="F477" s="540"/>
      <c r="G477" s="540"/>
      <c r="H477" s="540"/>
      <c r="I477" s="637"/>
      <c r="J477" s="637"/>
      <c r="K477" s="637"/>
      <c r="L477" s="100" t="s">
        <v>37</v>
      </c>
      <c r="M477" s="100" t="s">
        <v>35</v>
      </c>
      <c r="N477" s="347">
        <v>4442.3249999999998</v>
      </c>
      <c r="O477" s="347">
        <v>4442.3249999999998</v>
      </c>
      <c r="P477" s="347">
        <v>0</v>
      </c>
      <c r="Q477" s="347">
        <v>0</v>
      </c>
      <c r="R477" s="347">
        <v>0</v>
      </c>
    </row>
    <row r="478" spans="1:19" s="114" customFormat="1" ht="122.25" customHeight="1">
      <c r="A478" s="546"/>
      <c r="B478" s="100" t="s">
        <v>1368</v>
      </c>
      <c r="C478" s="626"/>
      <c r="D478" s="626"/>
      <c r="E478" s="626"/>
      <c r="F478" s="540"/>
      <c r="G478" s="540"/>
      <c r="H478" s="540"/>
      <c r="I478" s="487" t="s">
        <v>1467</v>
      </c>
      <c r="J478" s="487" t="s">
        <v>68</v>
      </c>
      <c r="K478" s="487" t="s">
        <v>929</v>
      </c>
      <c r="L478" s="100" t="s">
        <v>37</v>
      </c>
      <c r="M478" s="100" t="s">
        <v>35</v>
      </c>
      <c r="N478" s="105">
        <v>6670.741</v>
      </c>
      <c r="O478" s="105">
        <v>6666.7110000000002</v>
      </c>
      <c r="P478" s="105">
        <v>7868.2329</v>
      </c>
      <c r="Q478" s="105">
        <v>0</v>
      </c>
      <c r="R478" s="105">
        <v>0</v>
      </c>
    </row>
    <row r="479" spans="1:19" s="114" customFormat="1" ht="24.75" hidden="1" customHeight="1">
      <c r="A479" s="481"/>
      <c r="B479" s="100" t="s">
        <v>1164</v>
      </c>
      <c r="C479" s="500"/>
      <c r="D479" s="500"/>
      <c r="E479" s="500"/>
      <c r="F479" s="501"/>
      <c r="G479" s="501"/>
      <c r="H479" s="501"/>
      <c r="I479" s="413"/>
      <c r="J479" s="413"/>
      <c r="K479" s="413"/>
      <c r="L479" s="100" t="s">
        <v>37</v>
      </c>
      <c r="M479" s="100" t="s">
        <v>35</v>
      </c>
      <c r="N479" s="105">
        <v>0</v>
      </c>
      <c r="O479" s="105">
        <v>0</v>
      </c>
      <c r="P479" s="105">
        <v>0</v>
      </c>
      <c r="Q479" s="105">
        <v>0</v>
      </c>
      <c r="R479" s="105">
        <v>0</v>
      </c>
    </row>
    <row r="480" spans="1:19" s="115" customFormat="1" ht="15.75" customHeight="1">
      <c r="A480" s="587" t="s">
        <v>918</v>
      </c>
      <c r="B480" s="104" t="s">
        <v>911</v>
      </c>
      <c r="C480" s="69"/>
      <c r="D480" s="69"/>
      <c r="E480" s="69"/>
      <c r="F480" s="69"/>
      <c r="G480" s="69"/>
      <c r="H480" s="69"/>
      <c r="I480" s="24"/>
      <c r="J480" s="24"/>
      <c r="K480" s="24"/>
      <c r="L480" s="104" t="s">
        <v>40</v>
      </c>
      <c r="M480" s="104" t="s">
        <v>32</v>
      </c>
      <c r="N480" s="98">
        <f>SUM(N481:N482)</f>
        <v>12480</v>
      </c>
      <c r="O480" s="98">
        <f t="shared" ref="O480:R480" si="86">SUM(O481:O482)</f>
        <v>480</v>
      </c>
      <c r="P480" s="98">
        <f t="shared" si="86"/>
        <v>12450</v>
      </c>
      <c r="Q480" s="98">
        <f t="shared" si="86"/>
        <v>0</v>
      </c>
      <c r="R480" s="98">
        <f t="shared" si="86"/>
        <v>0</v>
      </c>
    </row>
    <row r="481" spans="1:18" s="115" customFormat="1" ht="72">
      <c r="A481" s="588"/>
      <c r="B481" s="100" t="s">
        <v>1370</v>
      </c>
      <c r="C481" s="69"/>
      <c r="D481" s="69"/>
      <c r="E481" s="69"/>
      <c r="F481" s="69"/>
      <c r="G481" s="69"/>
      <c r="H481" s="69"/>
      <c r="I481" s="24" t="s">
        <v>1374</v>
      </c>
      <c r="J481" s="24" t="s">
        <v>68</v>
      </c>
      <c r="K481" s="24" t="s">
        <v>1375</v>
      </c>
      <c r="L481" s="100" t="s">
        <v>40</v>
      </c>
      <c r="M481" s="100" t="s">
        <v>32</v>
      </c>
      <c r="N481" s="105">
        <v>480</v>
      </c>
      <c r="O481" s="105">
        <v>480</v>
      </c>
      <c r="P481" s="105">
        <v>450</v>
      </c>
      <c r="Q481" s="105">
        <v>0</v>
      </c>
      <c r="R481" s="105">
        <v>0</v>
      </c>
    </row>
    <row r="482" spans="1:18" s="115" customFormat="1" ht="48">
      <c r="A482" s="661"/>
      <c r="B482" s="100" t="s">
        <v>504</v>
      </c>
      <c r="C482" s="69"/>
      <c r="D482" s="69"/>
      <c r="E482" s="69"/>
      <c r="F482" s="69"/>
      <c r="G482" s="69"/>
      <c r="H482" s="69"/>
      <c r="I482" s="24" t="s">
        <v>1471</v>
      </c>
      <c r="J482" s="24" t="s">
        <v>68</v>
      </c>
      <c r="K482" s="24" t="s">
        <v>1243</v>
      </c>
      <c r="L482" s="100" t="s">
        <v>40</v>
      </c>
      <c r="M482" s="100" t="s">
        <v>32</v>
      </c>
      <c r="N482" s="105">
        <v>12000</v>
      </c>
      <c r="O482" s="105">
        <v>0</v>
      </c>
      <c r="P482" s="105">
        <v>12000</v>
      </c>
      <c r="Q482" s="105">
        <v>0</v>
      </c>
      <c r="R482" s="105">
        <v>0</v>
      </c>
    </row>
    <row r="483" spans="1:18" s="115" customFormat="1" ht="108.75" customHeight="1">
      <c r="A483" s="348" t="s">
        <v>981</v>
      </c>
      <c r="B483" s="104" t="s">
        <v>982</v>
      </c>
      <c r="C483" s="69"/>
      <c r="D483" s="69"/>
      <c r="E483" s="69"/>
      <c r="F483" s="69"/>
      <c r="G483" s="69"/>
      <c r="H483" s="69"/>
      <c r="I483" s="24" t="s">
        <v>992</v>
      </c>
      <c r="J483" s="24" t="s">
        <v>68</v>
      </c>
      <c r="K483" s="24" t="s">
        <v>1073</v>
      </c>
      <c r="L483" s="104" t="s">
        <v>40</v>
      </c>
      <c r="M483" s="104" t="s">
        <v>32</v>
      </c>
      <c r="N483" s="98">
        <v>2800</v>
      </c>
      <c r="O483" s="98">
        <v>2800</v>
      </c>
      <c r="P483" s="98">
        <v>0</v>
      </c>
      <c r="Q483" s="98">
        <v>0</v>
      </c>
      <c r="R483" s="98">
        <v>0</v>
      </c>
    </row>
    <row r="484" spans="1:18" s="115" customFormat="1" ht="49.5" customHeight="1">
      <c r="A484" s="69" t="s">
        <v>685</v>
      </c>
      <c r="B484" s="493">
        <v>2320</v>
      </c>
      <c r="C484" s="69"/>
      <c r="D484" s="69"/>
      <c r="E484" s="69"/>
      <c r="F484" s="69"/>
      <c r="G484" s="69"/>
      <c r="H484" s="69"/>
      <c r="I484" s="24"/>
      <c r="J484" s="24"/>
      <c r="K484" s="24"/>
      <c r="L484" s="104"/>
      <c r="M484" s="104"/>
      <c r="N484" s="98">
        <f>SUM(N485:N485)</f>
        <v>6063.5</v>
      </c>
      <c r="O484" s="98">
        <f>SUM(O485:O485)</f>
        <v>6063.5</v>
      </c>
      <c r="P484" s="98">
        <f>SUM(P485:P485)</f>
        <v>7210.6</v>
      </c>
      <c r="Q484" s="98">
        <f>SUM(Q485:Q485)</f>
        <v>0</v>
      </c>
      <c r="R484" s="98">
        <f>SUM(R485:R485)</f>
        <v>0</v>
      </c>
    </row>
    <row r="485" spans="1:18" s="114" customFormat="1" ht="119.25" customHeight="1">
      <c r="A485" s="48" t="s">
        <v>833</v>
      </c>
      <c r="B485" s="72" t="s">
        <v>456</v>
      </c>
      <c r="C485" s="448" t="s">
        <v>535</v>
      </c>
      <c r="D485" s="448" t="s">
        <v>536</v>
      </c>
      <c r="E485" s="448" t="s">
        <v>57</v>
      </c>
      <c r="F485" s="491" t="s">
        <v>1340</v>
      </c>
      <c r="G485" s="21" t="s">
        <v>1341</v>
      </c>
      <c r="H485" s="21" t="s">
        <v>132</v>
      </c>
      <c r="I485" s="490" t="s">
        <v>1246</v>
      </c>
      <c r="J485" s="490" t="s">
        <v>68</v>
      </c>
      <c r="K485" s="414" t="s">
        <v>1247</v>
      </c>
      <c r="L485" s="448" t="s">
        <v>24</v>
      </c>
      <c r="M485" s="448" t="s">
        <v>32</v>
      </c>
      <c r="N485" s="235">
        <v>6063.5</v>
      </c>
      <c r="O485" s="235">
        <v>6063.5</v>
      </c>
      <c r="P485" s="235">
        <v>7210.6</v>
      </c>
      <c r="Q485" s="235"/>
      <c r="R485" s="273"/>
    </row>
    <row r="486" spans="1:18" s="115" customFormat="1" ht="60">
      <c r="A486" s="93" t="s">
        <v>686</v>
      </c>
      <c r="B486" s="458" t="s">
        <v>687</v>
      </c>
      <c r="C486" s="93"/>
      <c r="D486" s="93"/>
      <c r="E486" s="93"/>
      <c r="F486" s="93"/>
      <c r="G486" s="93"/>
      <c r="H486" s="93"/>
      <c r="I486" s="93"/>
      <c r="J486" s="93"/>
      <c r="K486" s="93"/>
      <c r="L486" s="473"/>
      <c r="M486" s="473"/>
      <c r="N486" s="94">
        <f>SUM(N488:N489)</f>
        <v>1649.26</v>
      </c>
      <c r="O486" s="94">
        <f>SUM(O488:O489)</f>
        <v>1649.26</v>
      </c>
      <c r="P486" s="94">
        <f>SUM(P488:P489)</f>
        <v>98.2</v>
      </c>
      <c r="Q486" s="94">
        <f t="shared" ref="Q486:R486" si="87">SUM(Q488:Q489)</f>
        <v>0</v>
      </c>
      <c r="R486" s="94">
        <f t="shared" si="87"/>
        <v>0</v>
      </c>
    </row>
    <row r="487" spans="1:18" s="115" customFormat="1" ht="12">
      <c r="A487" s="39" t="s">
        <v>97</v>
      </c>
      <c r="B487" s="176"/>
      <c r="C487" s="39"/>
      <c r="D487" s="39"/>
      <c r="E487" s="39"/>
      <c r="F487" s="39"/>
      <c r="G487" s="39"/>
      <c r="H487" s="39"/>
      <c r="I487" s="39"/>
      <c r="J487" s="39"/>
      <c r="K487" s="39"/>
      <c r="L487" s="448"/>
      <c r="M487" s="448"/>
      <c r="N487" s="39"/>
      <c r="O487" s="39"/>
      <c r="P487" s="39"/>
      <c r="Q487" s="39"/>
      <c r="R487" s="39"/>
    </row>
    <row r="488" spans="1:18" s="116" customFormat="1" ht="12">
      <c r="A488" s="41"/>
      <c r="B488" s="177"/>
      <c r="C488" s="41"/>
      <c r="D488" s="41"/>
      <c r="E488" s="41"/>
      <c r="F488" s="41"/>
      <c r="G488" s="41"/>
      <c r="H488" s="41"/>
      <c r="I488" s="41"/>
      <c r="J488" s="41"/>
      <c r="K488" s="41"/>
      <c r="L488" s="109" t="s">
        <v>24</v>
      </c>
      <c r="M488" s="109" t="s">
        <v>32</v>
      </c>
      <c r="N488" s="43"/>
      <c r="O488" s="43"/>
      <c r="P488" s="43"/>
      <c r="Q488" s="43"/>
      <c r="R488" s="43"/>
    </row>
    <row r="489" spans="1:18" s="116" customFormat="1" ht="12">
      <c r="A489" s="41"/>
      <c r="B489" s="177"/>
      <c r="C489" s="41"/>
      <c r="D489" s="41"/>
      <c r="E489" s="41"/>
      <c r="F489" s="41"/>
      <c r="G489" s="41"/>
      <c r="H489" s="41"/>
      <c r="I489" s="41"/>
      <c r="J489" s="41"/>
      <c r="K489" s="41"/>
      <c r="L489" s="42" t="s">
        <v>24</v>
      </c>
      <c r="M489" s="42" t="s">
        <v>36</v>
      </c>
      <c r="N489" s="43">
        <f t="shared" ref="N489:O489" si="88">SUM(N490:N496)</f>
        <v>1649.26</v>
      </c>
      <c r="O489" s="43">
        <f t="shared" si="88"/>
        <v>1649.26</v>
      </c>
      <c r="P489" s="43">
        <f>SUM(P490:P496)</f>
        <v>98.2</v>
      </c>
      <c r="Q489" s="43">
        <f t="shared" ref="Q489:R489" si="89">SUM(Q490:Q496)</f>
        <v>0</v>
      </c>
      <c r="R489" s="43">
        <f t="shared" si="89"/>
        <v>0</v>
      </c>
    </row>
    <row r="490" spans="1:18" s="114" customFormat="1" ht="72">
      <c r="A490" s="479" t="s">
        <v>1152</v>
      </c>
      <c r="B490" s="100" t="s">
        <v>467</v>
      </c>
      <c r="C490" s="99"/>
      <c r="D490" s="99"/>
      <c r="E490" s="99"/>
      <c r="F490" s="491"/>
      <c r="G490" s="491"/>
      <c r="H490" s="491"/>
      <c r="I490" s="472" t="s">
        <v>932</v>
      </c>
      <c r="J490" s="472" t="s">
        <v>68</v>
      </c>
      <c r="K490" s="472" t="s">
        <v>862</v>
      </c>
      <c r="L490" s="100" t="s">
        <v>24</v>
      </c>
      <c r="M490" s="100" t="s">
        <v>36</v>
      </c>
      <c r="N490" s="110">
        <v>46.77</v>
      </c>
      <c r="O490" s="110">
        <v>46.77</v>
      </c>
      <c r="P490" s="110">
        <v>0</v>
      </c>
      <c r="Q490" s="110">
        <v>0</v>
      </c>
      <c r="R490" s="110">
        <v>0</v>
      </c>
    </row>
    <row r="491" spans="1:18" s="114" customFormat="1" ht="72">
      <c r="A491" s="479" t="s">
        <v>1153</v>
      </c>
      <c r="B491" s="100" t="s">
        <v>475</v>
      </c>
      <c r="C491" s="99"/>
      <c r="D491" s="99"/>
      <c r="E491" s="99"/>
      <c r="F491" s="491"/>
      <c r="G491" s="491"/>
      <c r="H491" s="491"/>
      <c r="I491" s="472" t="s">
        <v>922</v>
      </c>
      <c r="J491" s="472" t="s">
        <v>68</v>
      </c>
      <c r="K491" s="472" t="s">
        <v>923</v>
      </c>
      <c r="L491" s="100" t="s">
        <v>24</v>
      </c>
      <c r="M491" s="100" t="s">
        <v>36</v>
      </c>
      <c r="N491" s="110">
        <v>78</v>
      </c>
      <c r="O491" s="110">
        <v>78</v>
      </c>
      <c r="P491" s="110">
        <v>0</v>
      </c>
      <c r="Q491" s="110">
        <v>0</v>
      </c>
      <c r="R491" s="110">
        <v>0</v>
      </c>
    </row>
    <row r="492" spans="1:18" s="114" customFormat="1" ht="72.75" customHeight="1">
      <c r="A492" s="489" t="s">
        <v>1154</v>
      </c>
      <c r="B492" s="518" t="s">
        <v>497</v>
      </c>
      <c r="C492" s="101"/>
      <c r="D492" s="101"/>
      <c r="E492" s="101"/>
      <c r="F492" s="497"/>
      <c r="G492" s="497"/>
      <c r="H492" s="497"/>
      <c r="I492" s="442" t="s">
        <v>1067</v>
      </c>
      <c r="J492" s="442" t="s">
        <v>68</v>
      </c>
      <c r="K492" s="442" t="s">
        <v>989</v>
      </c>
      <c r="L492" s="518" t="s">
        <v>24</v>
      </c>
      <c r="M492" s="518" t="s">
        <v>36</v>
      </c>
      <c r="N492" s="88">
        <v>96.49</v>
      </c>
      <c r="O492" s="88">
        <v>96.49</v>
      </c>
      <c r="P492" s="88">
        <v>0</v>
      </c>
      <c r="Q492" s="88">
        <v>0</v>
      </c>
      <c r="R492" s="88">
        <v>0</v>
      </c>
    </row>
    <row r="493" spans="1:18" s="114" customFormat="1" ht="84">
      <c r="A493" s="489" t="s">
        <v>1155</v>
      </c>
      <c r="B493" s="518" t="s">
        <v>510</v>
      </c>
      <c r="C493" s="101"/>
      <c r="D493" s="101"/>
      <c r="E493" s="101"/>
      <c r="F493" s="497"/>
      <c r="G493" s="497"/>
      <c r="H493" s="497"/>
      <c r="I493" s="442" t="s">
        <v>1082</v>
      </c>
      <c r="J493" s="442" t="s">
        <v>68</v>
      </c>
      <c r="K493" s="442" t="s">
        <v>1083</v>
      </c>
      <c r="L493" s="518" t="s">
        <v>24</v>
      </c>
      <c r="M493" s="518" t="s">
        <v>36</v>
      </c>
      <c r="N493" s="88">
        <v>78</v>
      </c>
      <c r="O493" s="88">
        <v>78</v>
      </c>
      <c r="P493" s="88">
        <v>0</v>
      </c>
      <c r="Q493" s="88">
        <v>0</v>
      </c>
      <c r="R493" s="88">
        <v>0</v>
      </c>
    </row>
    <row r="494" spans="1:18" s="114" customFormat="1" ht="109.5" customHeight="1">
      <c r="A494" s="489" t="s">
        <v>1156</v>
      </c>
      <c r="B494" s="518" t="s">
        <v>465</v>
      </c>
      <c r="C494" s="101"/>
      <c r="D494" s="101"/>
      <c r="E494" s="101"/>
      <c r="F494" s="497" t="s">
        <v>1342</v>
      </c>
      <c r="G494" s="497" t="s">
        <v>1343</v>
      </c>
      <c r="H494" s="497" t="s">
        <v>523</v>
      </c>
      <c r="I494" s="472" t="s">
        <v>885</v>
      </c>
      <c r="J494" s="442" t="s">
        <v>68</v>
      </c>
      <c r="K494" s="442" t="s">
        <v>1099</v>
      </c>
      <c r="L494" s="518" t="s">
        <v>24</v>
      </c>
      <c r="M494" s="518" t="s">
        <v>36</v>
      </c>
      <c r="N494" s="88">
        <v>150</v>
      </c>
      <c r="O494" s="88">
        <v>150</v>
      </c>
      <c r="P494" s="88">
        <v>0</v>
      </c>
      <c r="Q494" s="88">
        <v>0</v>
      </c>
      <c r="R494" s="88">
        <v>0</v>
      </c>
    </row>
    <row r="495" spans="1:18" s="114" customFormat="1" ht="110.25" customHeight="1">
      <c r="A495" s="489" t="s">
        <v>1157</v>
      </c>
      <c r="B495" s="100" t="s">
        <v>511</v>
      </c>
      <c r="C495" s="99"/>
      <c r="D495" s="99"/>
      <c r="E495" s="99"/>
      <c r="F495" s="497" t="s">
        <v>1342</v>
      </c>
      <c r="G495" s="497" t="s">
        <v>1343</v>
      </c>
      <c r="H495" s="497" t="s">
        <v>523</v>
      </c>
      <c r="I495" s="472" t="s">
        <v>1081</v>
      </c>
      <c r="J495" s="472" t="s">
        <v>68</v>
      </c>
      <c r="K495" s="472" t="s">
        <v>1080</v>
      </c>
      <c r="L495" s="100" t="s">
        <v>24</v>
      </c>
      <c r="M495" s="100" t="s">
        <v>36</v>
      </c>
      <c r="N495" s="110">
        <v>1200</v>
      </c>
      <c r="O495" s="110">
        <v>1200</v>
      </c>
      <c r="P495" s="110">
        <v>0</v>
      </c>
      <c r="Q495" s="110">
        <v>0</v>
      </c>
      <c r="R495" s="110">
        <v>0</v>
      </c>
    </row>
    <row r="496" spans="1:18" s="114" customFormat="1" ht="37.5" customHeight="1">
      <c r="A496" s="479" t="s">
        <v>1158</v>
      </c>
      <c r="B496" s="100" t="s">
        <v>1065</v>
      </c>
      <c r="C496" s="99"/>
      <c r="D496" s="99"/>
      <c r="E496" s="99"/>
      <c r="F496" s="491"/>
      <c r="G496" s="491"/>
      <c r="H496" s="491"/>
      <c r="I496" s="472" t="s">
        <v>1244</v>
      </c>
      <c r="J496" s="472" t="s">
        <v>68</v>
      </c>
      <c r="K496" s="472" t="s">
        <v>1245</v>
      </c>
      <c r="L496" s="100" t="s">
        <v>24</v>
      </c>
      <c r="M496" s="100" t="s">
        <v>36</v>
      </c>
      <c r="N496" s="110">
        <v>0</v>
      </c>
      <c r="O496" s="110">
        <v>0</v>
      </c>
      <c r="P496" s="110">
        <v>98.2</v>
      </c>
      <c r="Q496" s="110">
        <v>0</v>
      </c>
      <c r="R496" s="110">
        <v>0</v>
      </c>
    </row>
    <row r="497" spans="1:18" s="115" customFormat="1" ht="119.25" hidden="1" customHeight="1">
      <c r="A497" s="103" t="s">
        <v>688</v>
      </c>
      <c r="B497" s="390" t="s">
        <v>689</v>
      </c>
      <c r="C497" s="93" t="s">
        <v>31</v>
      </c>
      <c r="D497" s="93" t="s">
        <v>31</v>
      </c>
      <c r="E497" s="93" t="s">
        <v>31</v>
      </c>
      <c r="F497" s="93" t="s">
        <v>31</v>
      </c>
      <c r="G497" s="93" t="s">
        <v>31</v>
      </c>
      <c r="H497" s="93" t="s">
        <v>31</v>
      </c>
      <c r="I497" s="448" t="s">
        <v>521</v>
      </c>
      <c r="J497" s="48" t="s">
        <v>68</v>
      </c>
      <c r="K497" s="448" t="s">
        <v>479</v>
      </c>
      <c r="L497" s="473" t="s">
        <v>35</v>
      </c>
      <c r="M497" s="458" t="s">
        <v>35</v>
      </c>
      <c r="N497" s="94"/>
      <c r="O497" s="94"/>
      <c r="P497" s="94"/>
      <c r="Q497" s="94"/>
      <c r="R497" s="175"/>
    </row>
    <row r="498" spans="1:18" s="115" customFormat="1" ht="49.5" customHeight="1">
      <c r="A498" s="93" t="s">
        <v>998</v>
      </c>
      <c r="B498" s="40">
        <v>2324</v>
      </c>
      <c r="C498" s="39"/>
      <c r="D498" s="39"/>
      <c r="E498" s="39"/>
      <c r="F498" s="39"/>
      <c r="G498" s="39"/>
      <c r="H498" s="39"/>
      <c r="I498" s="488"/>
      <c r="J498" s="108"/>
      <c r="K498" s="488"/>
      <c r="L498" s="40"/>
      <c r="M498" s="176"/>
      <c r="N498" s="242">
        <f t="shared" ref="N498:O498" si="90">SUM(N499:N503)</f>
        <v>4829</v>
      </c>
      <c r="O498" s="242">
        <f t="shared" si="90"/>
        <v>4766.8890000000001</v>
      </c>
      <c r="P498" s="242">
        <f>SUM(P499:P503)</f>
        <v>230</v>
      </c>
      <c r="Q498" s="242">
        <f t="shared" ref="Q498:R498" si="91">SUM(Q499:Q503)</f>
        <v>0</v>
      </c>
      <c r="R498" s="242">
        <f t="shared" si="91"/>
        <v>0</v>
      </c>
    </row>
    <row r="499" spans="1:18" s="114" customFormat="1" ht="60">
      <c r="A499" s="99" t="s">
        <v>1159</v>
      </c>
      <c r="B499" s="100" t="s">
        <v>490</v>
      </c>
      <c r="C499" s="99"/>
      <c r="D499" s="99"/>
      <c r="E499" s="99"/>
      <c r="F499" s="99"/>
      <c r="G499" s="99"/>
      <c r="H499" s="99"/>
      <c r="I499" s="463" t="s">
        <v>1048</v>
      </c>
      <c r="J499" s="463" t="s">
        <v>68</v>
      </c>
      <c r="K499" s="496" t="s">
        <v>960</v>
      </c>
      <c r="L499" s="100" t="s">
        <v>35</v>
      </c>
      <c r="M499" s="100" t="s">
        <v>41</v>
      </c>
      <c r="N499" s="110">
        <v>2164.5</v>
      </c>
      <c r="O499" s="105">
        <v>2164.5</v>
      </c>
      <c r="P499" s="110">
        <v>0</v>
      </c>
      <c r="Q499" s="105">
        <v>0</v>
      </c>
      <c r="R499" s="105">
        <v>0</v>
      </c>
    </row>
    <row r="500" spans="1:18" s="114" customFormat="1" ht="60">
      <c r="A500" s="99" t="s">
        <v>1161</v>
      </c>
      <c r="B500" s="100" t="s">
        <v>501</v>
      </c>
      <c r="C500" s="99"/>
      <c r="D500" s="99"/>
      <c r="E500" s="99"/>
      <c r="F500" s="99"/>
      <c r="G500" s="99"/>
      <c r="H500" s="99"/>
      <c r="I500" s="463" t="s">
        <v>997</v>
      </c>
      <c r="J500" s="463" t="s">
        <v>68</v>
      </c>
      <c r="K500" s="496" t="s">
        <v>995</v>
      </c>
      <c r="L500" s="100" t="s">
        <v>35</v>
      </c>
      <c r="M500" s="100" t="s">
        <v>41</v>
      </c>
      <c r="N500" s="110">
        <v>500</v>
      </c>
      <c r="O500" s="105">
        <v>500</v>
      </c>
      <c r="P500" s="110">
        <v>0</v>
      </c>
      <c r="Q500" s="105">
        <v>0</v>
      </c>
      <c r="R500" s="105">
        <v>0</v>
      </c>
    </row>
    <row r="501" spans="1:18" s="114" customFormat="1" ht="84.75" customHeight="1">
      <c r="A501" s="101" t="s">
        <v>1160</v>
      </c>
      <c r="B501" s="518" t="s">
        <v>893</v>
      </c>
      <c r="C501" s="101"/>
      <c r="D501" s="101"/>
      <c r="E501" s="101"/>
      <c r="F501" s="101"/>
      <c r="G501" s="101"/>
      <c r="H501" s="101"/>
      <c r="I501" s="440" t="s">
        <v>1100</v>
      </c>
      <c r="J501" s="440" t="s">
        <v>68</v>
      </c>
      <c r="K501" s="504" t="s">
        <v>1101</v>
      </c>
      <c r="L501" s="518" t="s">
        <v>35</v>
      </c>
      <c r="M501" s="518" t="s">
        <v>41</v>
      </c>
      <c r="N501" s="88">
        <v>2164.5</v>
      </c>
      <c r="O501" s="269">
        <v>2102.3890000000001</v>
      </c>
      <c r="P501" s="88">
        <v>0</v>
      </c>
      <c r="Q501" s="269">
        <v>0</v>
      </c>
      <c r="R501" s="269">
        <v>0</v>
      </c>
    </row>
    <row r="502" spans="1:18" s="114" customFormat="1" ht="60.75" customHeight="1">
      <c r="A502" s="99" t="s">
        <v>1162</v>
      </c>
      <c r="B502" s="100" t="s">
        <v>468</v>
      </c>
      <c r="C502" s="99"/>
      <c r="D502" s="99"/>
      <c r="E502" s="99"/>
      <c r="F502" s="99"/>
      <c r="G502" s="99"/>
      <c r="H502" s="99"/>
      <c r="I502" s="463" t="s">
        <v>1248</v>
      </c>
      <c r="J502" s="463" t="s">
        <v>68</v>
      </c>
      <c r="K502" s="496" t="s">
        <v>1247</v>
      </c>
      <c r="L502" s="100" t="s">
        <v>35</v>
      </c>
      <c r="M502" s="100" t="s">
        <v>41</v>
      </c>
      <c r="N502" s="110">
        <v>0</v>
      </c>
      <c r="O502" s="105">
        <v>0</v>
      </c>
      <c r="P502" s="110">
        <v>230</v>
      </c>
      <c r="Q502" s="105">
        <v>0</v>
      </c>
      <c r="R502" s="105">
        <v>0</v>
      </c>
    </row>
    <row r="503" spans="1:18" s="114" customFormat="1" ht="108" hidden="1" customHeight="1">
      <c r="A503" s="99" t="s">
        <v>1173</v>
      </c>
      <c r="B503" s="100" t="s">
        <v>1174</v>
      </c>
      <c r="C503" s="99"/>
      <c r="D503" s="99"/>
      <c r="E503" s="99"/>
      <c r="F503" s="491" t="s">
        <v>1344</v>
      </c>
      <c r="G503" s="491" t="s">
        <v>1346</v>
      </c>
      <c r="H503" s="491" t="s">
        <v>1345</v>
      </c>
      <c r="I503" s="463" t="s">
        <v>1270</v>
      </c>
      <c r="J503" s="463"/>
      <c r="K503" s="496"/>
      <c r="L503" s="100" t="s">
        <v>35</v>
      </c>
      <c r="M503" s="100" t="s">
        <v>41</v>
      </c>
      <c r="N503" s="110">
        <v>0</v>
      </c>
      <c r="O503" s="105">
        <v>0</v>
      </c>
      <c r="P503" s="110">
        <v>0</v>
      </c>
      <c r="Q503" s="105">
        <v>0</v>
      </c>
      <c r="R503" s="105">
        <v>0</v>
      </c>
    </row>
    <row r="504" spans="1:18" s="115" customFormat="1" ht="59.25" customHeight="1">
      <c r="A504" s="55" t="s">
        <v>690</v>
      </c>
      <c r="B504" s="468">
        <v>2326</v>
      </c>
      <c r="C504" s="55" t="s">
        <v>31</v>
      </c>
      <c r="D504" s="55" t="s">
        <v>31</v>
      </c>
      <c r="E504" s="55" t="s">
        <v>31</v>
      </c>
      <c r="F504" s="55" t="s">
        <v>31</v>
      </c>
      <c r="G504" s="55" t="s">
        <v>31</v>
      </c>
      <c r="H504" s="55" t="s">
        <v>31</v>
      </c>
      <c r="I504" s="55" t="s">
        <v>31</v>
      </c>
      <c r="J504" s="55" t="s">
        <v>31</v>
      </c>
      <c r="K504" s="55" t="s">
        <v>31</v>
      </c>
      <c r="L504" s="468"/>
      <c r="M504" s="468"/>
      <c r="N504" s="56">
        <f>SUM(N506:N520)</f>
        <v>28427.296000000002</v>
      </c>
      <c r="O504" s="56">
        <f>SUM(O506:O520)</f>
        <v>28369.141</v>
      </c>
      <c r="P504" s="56">
        <f>SUM(P506:P526)</f>
        <v>33001.803</v>
      </c>
      <c r="Q504" s="56">
        <f t="shared" ref="Q504:R504" si="92">SUM(Q506:Q522)</f>
        <v>0</v>
      </c>
      <c r="R504" s="56">
        <f t="shared" si="92"/>
        <v>0</v>
      </c>
    </row>
    <row r="505" spans="1:18" s="115" customFormat="1" ht="14.25" customHeight="1">
      <c r="A505" s="50" t="s">
        <v>691</v>
      </c>
      <c r="B505" s="59"/>
      <c r="C505" s="103"/>
      <c r="D505" s="103"/>
      <c r="E505" s="103"/>
      <c r="F505" s="103"/>
      <c r="G505" s="103"/>
      <c r="H505" s="103"/>
      <c r="I505" s="103"/>
      <c r="J505" s="103"/>
      <c r="K505" s="103"/>
      <c r="L505" s="59"/>
      <c r="M505" s="59"/>
      <c r="N505" s="56"/>
      <c r="O505" s="56"/>
      <c r="P505" s="56"/>
      <c r="Q505" s="56"/>
      <c r="R505" s="172"/>
    </row>
    <row r="506" spans="1:18" s="114" customFormat="1" ht="60">
      <c r="A506" s="609" t="s">
        <v>1176</v>
      </c>
      <c r="B506" s="659" t="s">
        <v>466</v>
      </c>
      <c r="C506" s="624"/>
      <c r="D506" s="624"/>
      <c r="E506" s="624"/>
      <c r="F506" s="624"/>
      <c r="G506" s="624"/>
      <c r="H506" s="624"/>
      <c r="I506" s="463" t="s">
        <v>864</v>
      </c>
      <c r="J506" s="463" t="s">
        <v>68</v>
      </c>
      <c r="K506" s="496" t="s">
        <v>863</v>
      </c>
      <c r="L506" s="100" t="s">
        <v>35</v>
      </c>
      <c r="M506" s="100" t="s">
        <v>41</v>
      </c>
      <c r="N506" s="88">
        <v>1058.816</v>
      </c>
      <c r="O506" s="269">
        <v>1000.6609999999999</v>
      </c>
      <c r="P506" s="88">
        <v>0</v>
      </c>
      <c r="Q506" s="269">
        <v>0</v>
      </c>
      <c r="R506" s="269">
        <v>0</v>
      </c>
    </row>
    <row r="507" spans="1:18" s="114" customFormat="1" ht="60">
      <c r="A507" s="546"/>
      <c r="B507" s="660"/>
      <c r="C507" s="540"/>
      <c r="D507" s="540"/>
      <c r="E507" s="540"/>
      <c r="F507" s="540"/>
      <c r="G507" s="540"/>
      <c r="H507" s="540"/>
      <c r="I507" s="463" t="s">
        <v>926</v>
      </c>
      <c r="J507" s="463" t="s">
        <v>68</v>
      </c>
      <c r="K507" s="496" t="s">
        <v>927</v>
      </c>
      <c r="L507" s="100" t="s">
        <v>35</v>
      </c>
      <c r="M507" s="100" t="s">
        <v>41</v>
      </c>
      <c r="N507" s="89"/>
      <c r="O507" s="47"/>
      <c r="P507" s="89"/>
      <c r="Q507" s="47"/>
      <c r="R507" s="47"/>
    </row>
    <row r="508" spans="1:18" s="114" customFormat="1" ht="60">
      <c r="A508" s="445"/>
      <c r="B508" s="519"/>
      <c r="C508" s="464"/>
      <c r="D508" s="464"/>
      <c r="E508" s="464"/>
      <c r="F508" s="464"/>
      <c r="G508" s="464"/>
      <c r="H508" s="464"/>
      <c r="I508" s="463" t="s">
        <v>1049</v>
      </c>
      <c r="J508" s="463" t="s">
        <v>68</v>
      </c>
      <c r="K508" s="496" t="s">
        <v>995</v>
      </c>
      <c r="L508" s="100" t="s">
        <v>35</v>
      </c>
      <c r="M508" s="100" t="s">
        <v>41</v>
      </c>
      <c r="N508" s="89"/>
      <c r="O508" s="47"/>
      <c r="P508" s="89"/>
      <c r="Q508" s="47"/>
      <c r="R508" s="47"/>
    </row>
    <row r="509" spans="1:18" s="114" customFormat="1" ht="60">
      <c r="A509" s="481"/>
      <c r="B509" s="74"/>
      <c r="C509" s="501"/>
      <c r="D509" s="501"/>
      <c r="E509" s="501"/>
      <c r="F509" s="501"/>
      <c r="G509" s="501"/>
      <c r="H509" s="501"/>
      <c r="I509" s="463" t="s">
        <v>1004</v>
      </c>
      <c r="J509" s="463" t="s">
        <v>68</v>
      </c>
      <c r="K509" s="496" t="s">
        <v>1003</v>
      </c>
      <c r="L509" s="100" t="s">
        <v>35</v>
      </c>
      <c r="M509" s="100" t="s">
        <v>41</v>
      </c>
      <c r="N509" s="107"/>
      <c r="O509" s="70"/>
      <c r="P509" s="107"/>
      <c r="Q509" s="70"/>
      <c r="R509" s="70"/>
    </row>
    <row r="510" spans="1:18" s="114" customFormat="1" ht="36.75" customHeight="1">
      <c r="A510" s="99" t="s">
        <v>1177</v>
      </c>
      <c r="B510" s="100" t="s">
        <v>477</v>
      </c>
      <c r="C510" s="99"/>
      <c r="D510" s="99"/>
      <c r="E510" s="99"/>
      <c r="F510" s="99"/>
      <c r="G510" s="99"/>
      <c r="H510" s="99"/>
      <c r="I510" s="463" t="s">
        <v>883</v>
      </c>
      <c r="J510" s="463" t="s">
        <v>68</v>
      </c>
      <c r="K510" s="496" t="s">
        <v>880</v>
      </c>
      <c r="L510" s="100" t="s">
        <v>35</v>
      </c>
      <c r="M510" s="100" t="s">
        <v>41</v>
      </c>
      <c r="N510" s="110">
        <v>155</v>
      </c>
      <c r="O510" s="105">
        <v>155</v>
      </c>
      <c r="P510" s="110">
        <v>0</v>
      </c>
      <c r="Q510" s="105">
        <v>0</v>
      </c>
      <c r="R510" s="105">
        <v>0</v>
      </c>
    </row>
    <row r="511" spans="1:18" s="114" customFormat="1" ht="60">
      <c r="A511" s="99" t="s">
        <v>1178</v>
      </c>
      <c r="B511" s="100" t="s">
        <v>476</v>
      </c>
      <c r="C511" s="99"/>
      <c r="D511" s="99"/>
      <c r="E511" s="99"/>
      <c r="F511" s="99"/>
      <c r="G511" s="99"/>
      <c r="H511" s="99"/>
      <c r="I511" s="463" t="s">
        <v>928</v>
      </c>
      <c r="J511" s="463" t="s">
        <v>68</v>
      </c>
      <c r="K511" s="496" t="s">
        <v>880</v>
      </c>
      <c r="L511" s="100" t="s">
        <v>35</v>
      </c>
      <c r="M511" s="100" t="s">
        <v>41</v>
      </c>
      <c r="N511" s="110">
        <v>112.712</v>
      </c>
      <c r="O511" s="105">
        <v>112.712</v>
      </c>
      <c r="P511" s="110">
        <v>0</v>
      </c>
      <c r="Q511" s="105">
        <v>0</v>
      </c>
      <c r="R511" s="105">
        <v>0</v>
      </c>
    </row>
    <row r="512" spans="1:18" s="114" customFormat="1" ht="84">
      <c r="A512" s="99" t="s">
        <v>1179</v>
      </c>
      <c r="B512" s="100" t="s">
        <v>483</v>
      </c>
      <c r="C512" s="99"/>
      <c r="D512" s="99"/>
      <c r="E512" s="99"/>
      <c r="F512" s="99"/>
      <c r="G512" s="99"/>
      <c r="H512" s="99"/>
      <c r="I512" s="463" t="s">
        <v>1097</v>
      </c>
      <c r="J512" s="463" t="s">
        <v>68</v>
      </c>
      <c r="K512" s="496" t="s">
        <v>956</v>
      </c>
      <c r="L512" s="100" t="s">
        <v>35</v>
      </c>
      <c r="M512" s="100" t="s">
        <v>41</v>
      </c>
      <c r="N512" s="110">
        <v>4161.058</v>
      </c>
      <c r="O512" s="105">
        <v>4161.058</v>
      </c>
      <c r="P512" s="110">
        <v>0</v>
      </c>
      <c r="Q512" s="105">
        <v>0</v>
      </c>
      <c r="R512" s="105">
        <v>0</v>
      </c>
    </row>
    <row r="513" spans="1:18" s="114" customFormat="1" ht="48">
      <c r="A513" s="99" t="s">
        <v>1180</v>
      </c>
      <c r="B513" s="100" t="s">
        <v>500</v>
      </c>
      <c r="C513" s="99"/>
      <c r="D513" s="99"/>
      <c r="E513" s="99"/>
      <c r="F513" s="99"/>
      <c r="G513" s="99"/>
      <c r="H513" s="99"/>
      <c r="I513" s="463" t="s">
        <v>1002</v>
      </c>
      <c r="J513" s="463" t="s">
        <v>68</v>
      </c>
      <c r="K513" s="496" t="s">
        <v>1050</v>
      </c>
      <c r="L513" s="100" t="s">
        <v>35</v>
      </c>
      <c r="M513" s="100" t="s">
        <v>41</v>
      </c>
      <c r="N513" s="110">
        <v>100</v>
      </c>
      <c r="O513" s="105">
        <v>100</v>
      </c>
      <c r="P513" s="110">
        <v>0</v>
      </c>
      <c r="Q513" s="105">
        <v>0</v>
      </c>
      <c r="R513" s="105">
        <v>0</v>
      </c>
    </row>
    <row r="514" spans="1:18" s="114" customFormat="1" ht="72" customHeight="1">
      <c r="A514" s="99" t="s">
        <v>1181</v>
      </c>
      <c r="B514" s="100" t="s">
        <v>729</v>
      </c>
      <c r="C514" s="99"/>
      <c r="D514" s="99"/>
      <c r="E514" s="99"/>
      <c r="F514" s="99"/>
      <c r="G514" s="99"/>
      <c r="H514" s="99"/>
      <c r="I514" s="463" t="s">
        <v>1066</v>
      </c>
      <c r="J514" s="463" t="s">
        <v>68</v>
      </c>
      <c r="K514" s="496" t="s">
        <v>1064</v>
      </c>
      <c r="L514" s="100" t="s">
        <v>35</v>
      </c>
      <c r="M514" s="100" t="s">
        <v>41</v>
      </c>
      <c r="N514" s="110">
        <v>45</v>
      </c>
      <c r="O514" s="105">
        <v>45</v>
      </c>
      <c r="P514" s="110">
        <v>0</v>
      </c>
      <c r="Q514" s="105">
        <v>0</v>
      </c>
      <c r="R514" s="105">
        <v>0</v>
      </c>
    </row>
    <row r="515" spans="1:18" s="114" customFormat="1" ht="60" customHeight="1">
      <c r="A515" s="99" t="s">
        <v>1186</v>
      </c>
      <c r="B515" s="100" t="s">
        <v>475</v>
      </c>
      <c r="C515" s="99"/>
      <c r="D515" s="99"/>
      <c r="E515" s="99"/>
      <c r="F515" s="99"/>
      <c r="G515" s="99"/>
      <c r="H515" s="99"/>
      <c r="I515" s="463" t="s">
        <v>1376</v>
      </c>
      <c r="J515" s="463" t="s">
        <v>68</v>
      </c>
      <c r="K515" s="496" t="s">
        <v>1375</v>
      </c>
      <c r="L515" s="100" t="s">
        <v>35</v>
      </c>
      <c r="M515" s="100" t="s">
        <v>41</v>
      </c>
      <c r="N515" s="110">
        <v>0</v>
      </c>
      <c r="O515" s="105">
        <v>0</v>
      </c>
      <c r="P515" s="110">
        <v>998.43</v>
      </c>
      <c r="Q515" s="105">
        <v>0</v>
      </c>
      <c r="R515" s="105">
        <v>0</v>
      </c>
    </row>
    <row r="516" spans="1:18" s="114" customFormat="1" ht="96">
      <c r="A516" s="99" t="s">
        <v>1187</v>
      </c>
      <c r="B516" s="100" t="s">
        <v>485</v>
      </c>
      <c r="C516" s="99"/>
      <c r="D516" s="99"/>
      <c r="E516" s="99"/>
      <c r="F516" s="99"/>
      <c r="G516" s="99"/>
      <c r="H516" s="99"/>
      <c r="I516" s="463" t="s">
        <v>1438</v>
      </c>
      <c r="J516" s="463" t="s">
        <v>68</v>
      </c>
      <c r="K516" s="496" t="s">
        <v>1434</v>
      </c>
      <c r="L516" s="100" t="s">
        <v>35</v>
      </c>
      <c r="M516" s="100" t="s">
        <v>41</v>
      </c>
      <c r="N516" s="110">
        <v>0</v>
      </c>
      <c r="O516" s="105">
        <v>0</v>
      </c>
      <c r="P516" s="110">
        <v>2693.6</v>
      </c>
      <c r="Q516" s="105">
        <v>0</v>
      </c>
      <c r="R516" s="105">
        <v>0</v>
      </c>
    </row>
    <row r="517" spans="1:18" s="114" customFormat="1" ht="24">
      <c r="A517" s="69" t="s">
        <v>692</v>
      </c>
      <c r="B517" s="100"/>
      <c r="C517" s="99"/>
      <c r="D517" s="99"/>
      <c r="E517" s="99"/>
      <c r="F517" s="99"/>
      <c r="G517" s="99"/>
      <c r="H517" s="99"/>
      <c r="I517" s="463"/>
      <c r="J517" s="463"/>
      <c r="K517" s="496"/>
      <c r="L517" s="491"/>
      <c r="M517" s="491"/>
      <c r="N517" s="99"/>
      <c r="O517" s="110"/>
      <c r="P517" s="99"/>
      <c r="Q517" s="99"/>
      <c r="R517" s="99"/>
    </row>
    <row r="518" spans="1:18" s="114" customFormat="1" ht="60.75" customHeight="1">
      <c r="A518" s="99" t="s">
        <v>693</v>
      </c>
      <c r="B518" s="158" t="s">
        <v>556</v>
      </c>
      <c r="C518" s="613"/>
      <c r="D518" s="613"/>
      <c r="E518" s="613"/>
      <c r="F518" s="613" t="s">
        <v>1347</v>
      </c>
      <c r="G518" s="613" t="s">
        <v>1348</v>
      </c>
      <c r="H518" s="613" t="s">
        <v>1345</v>
      </c>
      <c r="I518" s="633" t="s">
        <v>1438</v>
      </c>
      <c r="J518" s="555" t="s">
        <v>68</v>
      </c>
      <c r="K518" s="617" t="s">
        <v>1434</v>
      </c>
      <c r="L518" s="141" t="s">
        <v>35</v>
      </c>
      <c r="M518" s="100" t="s">
        <v>41</v>
      </c>
      <c r="N518" s="110">
        <v>672.88900000000001</v>
      </c>
      <c r="O518" s="110">
        <v>672.88900000000001</v>
      </c>
      <c r="P518" s="110">
        <v>727.27</v>
      </c>
      <c r="Q518" s="99">
        <v>0</v>
      </c>
      <c r="R518" s="99">
        <v>0</v>
      </c>
    </row>
    <row r="519" spans="1:18" s="114" customFormat="1" ht="60" customHeight="1">
      <c r="A519" s="45" t="s">
        <v>694</v>
      </c>
      <c r="B519" s="149" t="s">
        <v>557</v>
      </c>
      <c r="C519" s="624"/>
      <c r="D519" s="624"/>
      <c r="E519" s="624"/>
      <c r="F519" s="624"/>
      <c r="G519" s="624"/>
      <c r="H519" s="624"/>
      <c r="I519" s="634"/>
      <c r="J519" s="541"/>
      <c r="K519" s="635"/>
      <c r="L519" s="75" t="s">
        <v>35</v>
      </c>
      <c r="M519" s="509" t="s">
        <v>41</v>
      </c>
      <c r="N519" s="117">
        <v>21756.821</v>
      </c>
      <c r="O519" s="117">
        <v>21756.821</v>
      </c>
      <c r="P519" s="117">
        <v>23515.072</v>
      </c>
      <c r="Q519" s="117">
        <v>0</v>
      </c>
      <c r="R519" s="139">
        <v>0</v>
      </c>
    </row>
    <row r="520" spans="1:18" s="114" customFormat="1" ht="108.75" customHeight="1">
      <c r="A520" s="99" t="s">
        <v>907</v>
      </c>
      <c r="B520" s="100" t="s">
        <v>480</v>
      </c>
      <c r="C520" s="491"/>
      <c r="D520" s="491"/>
      <c r="E520" s="491"/>
      <c r="F520" s="497" t="s">
        <v>1342</v>
      </c>
      <c r="G520" s="497" t="s">
        <v>1343</v>
      </c>
      <c r="H520" s="497" t="s">
        <v>523</v>
      </c>
      <c r="I520" s="463" t="s">
        <v>920</v>
      </c>
      <c r="J520" s="463" t="s">
        <v>68</v>
      </c>
      <c r="K520" s="496" t="s">
        <v>921</v>
      </c>
      <c r="L520" s="100" t="s">
        <v>35</v>
      </c>
      <c r="M520" s="100" t="s">
        <v>41</v>
      </c>
      <c r="N520" s="110">
        <v>365</v>
      </c>
      <c r="O520" s="110">
        <v>365</v>
      </c>
      <c r="P520" s="110">
        <v>0</v>
      </c>
      <c r="Q520" s="110">
        <v>0</v>
      </c>
      <c r="R520" s="110">
        <v>0</v>
      </c>
    </row>
    <row r="521" spans="1:18" s="114" customFormat="1" ht="61.5" customHeight="1">
      <c r="A521" s="101" t="s">
        <v>1182</v>
      </c>
      <c r="B521" s="518" t="s">
        <v>1183</v>
      </c>
      <c r="C521" s="497"/>
      <c r="D521" s="497"/>
      <c r="E521" s="497"/>
      <c r="F521" s="624" t="s">
        <v>1353</v>
      </c>
      <c r="G521" s="624" t="s">
        <v>1361</v>
      </c>
      <c r="H521" s="624" t="s">
        <v>1345</v>
      </c>
      <c r="I521" s="541" t="s">
        <v>1376</v>
      </c>
      <c r="J521" s="541" t="s">
        <v>68</v>
      </c>
      <c r="K521" s="635" t="s">
        <v>1375</v>
      </c>
      <c r="L521" s="518" t="s">
        <v>35</v>
      </c>
      <c r="M521" s="518" t="s">
        <v>41</v>
      </c>
      <c r="N521" s="88">
        <v>0</v>
      </c>
      <c r="O521" s="88">
        <v>0</v>
      </c>
      <c r="P521" s="88">
        <v>2258.6</v>
      </c>
      <c r="Q521" s="88">
        <v>0</v>
      </c>
      <c r="R521" s="88">
        <v>0</v>
      </c>
    </row>
    <row r="522" spans="1:18" s="114" customFormat="1" ht="72" customHeight="1">
      <c r="A522" s="101" t="s">
        <v>1184</v>
      </c>
      <c r="B522" s="518" t="s">
        <v>1185</v>
      </c>
      <c r="C522" s="497"/>
      <c r="D522" s="497"/>
      <c r="E522" s="497"/>
      <c r="F522" s="628"/>
      <c r="G522" s="628"/>
      <c r="H522" s="628"/>
      <c r="I522" s="542"/>
      <c r="J522" s="542"/>
      <c r="K522" s="636"/>
      <c r="L522" s="518" t="s">
        <v>35</v>
      </c>
      <c r="M522" s="518" t="s">
        <v>41</v>
      </c>
      <c r="N522" s="88">
        <v>0</v>
      </c>
      <c r="O522" s="88">
        <v>0</v>
      </c>
      <c r="P522" s="88">
        <v>462.9</v>
      </c>
      <c r="Q522" s="88">
        <v>0</v>
      </c>
      <c r="R522" s="88">
        <v>0</v>
      </c>
    </row>
    <row r="523" spans="1:18" s="114" customFormat="1" ht="120" customHeight="1">
      <c r="A523" s="101" t="s">
        <v>1371</v>
      </c>
      <c r="B523" s="518" t="s">
        <v>465</v>
      </c>
      <c r="C523" s="497"/>
      <c r="D523" s="497"/>
      <c r="E523" s="497"/>
      <c r="F523" s="464" t="s">
        <v>1435</v>
      </c>
      <c r="G523" s="464" t="s">
        <v>835</v>
      </c>
      <c r="H523" s="464" t="s">
        <v>523</v>
      </c>
      <c r="I523" s="440" t="s">
        <v>1433</v>
      </c>
      <c r="J523" s="440" t="s">
        <v>68</v>
      </c>
      <c r="K523" s="504" t="s">
        <v>1434</v>
      </c>
      <c r="L523" s="518" t="s">
        <v>35</v>
      </c>
      <c r="M523" s="518" t="s">
        <v>41</v>
      </c>
      <c r="N523" s="88">
        <v>0</v>
      </c>
      <c r="O523" s="88">
        <v>0</v>
      </c>
      <c r="P523" s="88">
        <v>100</v>
      </c>
      <c r="Q523" s="88">
        <v>0</v>
      </c>
      <c r="R523" s="88">
        <v>0</v>
      </c>
    </row>
    <row r="524" spans="1:18" s="114" customFormat="1" ht="84" customHeight="1">
      <c r="A524" s="101" t="s">
        <v>1428</v>
      </c>
      <c r="B524" s="518" t="s">
        <v>950</v>
      </c>
      <c r="C524" s="497"/>
      <c r="D524" s="497"/>
      <c r="E524" s="497"/>
      <c r="F524" s="491"/>
      <c r="G524" s="491"/>
      <c r="H524" s="491"/>
      <c r="I524" s="541" t="s">
        <v>1450</v>
      </c>
      <c r="J524" s="541" t="s">
        <v>68</v>
      </c>
      <c r="K524" s="635" t="s">
        <v>1451</v>
      </c>
      <c r="L524" s="518" t="s">
        <v>35</v>
      </c>
      <c r="M524" s="518" t="s">
        <v>41</v>
      </c>
      <c r="N524" s="88">
        <v>0</v>
      </c>
      <c r="O524" s="88">
        <v>0</v>
      </c>
      <c r="P524" s="88">
        <v>818</v>
      </c>
      <c r="Q524" s="88">
        <v>0</v>
      </c>
      <c r="R524" s="88">
        <v>0</v>
      </c>
    </row>
    <row r="525" spans="1:18" s="114" customFormat="1" ht="84.75" customHeight="1">
      <c r="A525" s="101" t="s">
        <v>1429</v>
      </c>
      <c r="B525" s="518" t="s">
        <v>946</v>
      </c>
      <c r="C525" s="497"/>
      <c r="D525" s="497"/>
      <c r="E525" s="497"/>
      <c r="F525" s="491"/>
      <c r="G525" s="491"/>
      <c r="H525" s="491"/>
      <c r="I525" s="539"/>
      <c r="J525" s="539"/>
      <c r="K525" s="603"/>
      <c r="L525" s="518" t="s">
        <v>35</v>
      </c>
      <c r="M525" s="518" t="s">
        <v>41</v>
      </c>
      <c r="N525" s="88">
        <v>0</v>
      </c>
      <c r="O525" s="88">
        <v>0</v>
      </c>
      <c r="P525" s="88">
        <v>999.952</v>
      </c>
      <c r="Q525" s="88">
        <v>0</v>
      </c>
      <c r="R525" s="88">
        <v>0</v>
      </c>
    </row>
    <row r="526" spans="1:18" s="114" customFormat="1" ht="106.5" customHeight="1">
      <c r="A526" s="101" t="s">
        <v>1430</v>
      </c>
      <c r="B526" s="518" t="s">
        <v>951</v>
      </c>
      <c r="C526" s="497"/>
      <c r="D526" s="497"/>
      <c r="E526" s="497"/>
      <c r="F526" s="491"/>
      <c r="G526" s="491"/>
      <c r="H526" s="491"/>
      <c r="I526" s="542"/>
      <c r="J526" s="542"/>
      <c r="K526" s="636"/>
      <c r="L526" s="518" t="s">
        <v>35</v>
      </c>
      <c r="M526" s="518" t="s">
        <v>41</v>
      </c>
      <c r="N526" s="88">
        <v>0</v>
      </c>
      <c r="O526" s="88">
        <v>0</v>
      </c>
      <c r="P526" s="88">
        <v>427.97899999999998</v>
      </c>
      <c r="Q526" s="88">
        <v>0</v>
      </c>
      <c r="R526" s="88">
        <v>0</v>
      </c>
    </row>
    <row r="527" spans="1:18" s="115" customFormat="1" ht="72" customHeight="1">
      <c r="A527" s="587" t="s">
        <v>695</v>
      </c>
      <c r="B527" s="102" t="s">
        <v>1431</v>
      </c>
      <c r="C527" s="96"/>
      <c r="D527" s="96"/>
      <c r="E527" s="96"/>
      <c r="F527" s="96"/>
      <c r="G527" s="96"/>
      <c r="H527" s="96"/>
      <c r="I527" s="541" t="s">
        <v>1453</v>
      </c>
      <c r="J527" s="541" t="s">
        <v>68</v>
      </c>
      <c r="K527" s="504" t="s">
        <v>1434</v>
      </c>
      <c r="L527" s="102" t="s">
        <v>37</v>
      </c>
      <c r="M527" s="102" t="s">
        <v>25</v>
      </c>
      <c r="N527" s="333">
        <v>1800</v>
      </c>
      <c r="O527" s="333">
        <v>0</v>
      </c>
      <c r="P527" s="333">
        <v>537</v>
      </c>
      <c r="Q527" s="333">
        <v>0</v>
      </c>
      <c r="R527" s="333">
        <v>0</v>
      </c>
    </row>
    <row r="528" spans="1:18" s="115" customFormat="1" ht="72" customHeight="1">
      <c r="A528" s="588"/>
      <c r="B528" s="352" t="s">
        <v>1432</v>
      </c>
      <c r="C528" s="78"/>
      <c r="D528" s="78"/>
      <c r="E528" s="78"/>
      <c r="F528" s="78"/>
      <c r="G528" s="78"/>
      <c r="H528" s="78"/>
      <c r="I528" s="542"/>
      <c r="J528" s="542"/>
      <c r="K528" s="450"/>
      <c r="L528" s="352" t="s">
        <v>37</v>
      </c>
      <c r="M528" s="352" t="s">
        <v>25</v>
      </c>
      <c r="N528" s="523">
        <v>1800</v>
      </c>
      <c r="O528" s="523">
        <v>0</v>
      </c>
      <c r="P528" s="523">
        <v>537</v>
      </c>
      <c r="Q528" s="523">
        <v>0</v>
      </c>
      <c r="R528" s="523">
        <v>0</v>
      </c>
    </row>
    <row r="529" spans="1:18" s="115" customFormat="1" ht="24">
      <c r="A529" s="469" t="s">
        <v>948</v>
      </c>
      <c r="B529" s="102" t="s">
        <v>949</v>
      </c>
      <c r="C529" s="96"/>
      <c r="D529" s="96"/>
      <c r="E529" s="96"/>
      <c r="F529" s="96"/>
      <c r="G529" s="96"/>
      <c r="H529" s="96"/>
      <c r="I529" s="324"/>
      <c r="J529" s="440"/>
      <c r="K529" s="504"/>
      <c r="L529" s="102"/>
      <c r="M529" s="102"/>
      <c r="N529" s="333">
        <f>SUM(N530:N532)</f>
        <v>1247.384</v>
      </c>
      <c r="O529" s="333">
        <f t="shared" ref="O529:R529" si="93">SUM(O530:O532)</f>
        <v>1247.384</v>
      </c>
      <c r="P529" s="333">
        <f t="shared" si="93"/>
        <v>0</v>
      </c>
      <c r="Q529" s="333">
        <f t="shared" si="93"/>
        <v>0</v>
      </c>
      <c r="R529" s="333">
        <f t="shared" si="93"/>
        <v>0</v>
      </c>
    </row>
    <row r="530" spans="1:18" s="114" customFormat="1" ht="106.5" customHeight="1">
      <c r="A530" s="445"/>
      <c r="B530" s="519" t="s">
        <v>950</v>
      </c>
      <c r="C530" s="54"/>
      <c r="D530" s="54"/>
      <c r="E530" s="54"/>
      <c r="F530" s="540" t="s">
        <v>1335</v>
      </c>
      <c r="G530" s="540" t="s">
        <v>68</v>
      </c>
      <c r="H530" s="540" t="s">
        <v>1336</v>
      </c>
      <c r="I530" s="1" t="s">
        <v>1006</v>
      </c>
      <c r="J530" s="449" t="s">
        <v>68</v>
      </c>
      <c r="K530" s="450" t="s">
        <v>965</v>
      </c>
      <c r="L530" s="519" t="s">
        <v>35</v>
      </c>
      <c r="M530" s="519" t="s">
        <v>41</v>
      </c>
      <c r="N530" s="89">
        <v>724.22799999999995</v>
      </c>
      <c r="O530" s="89">
        <v>724.22799999999995</v>
      </c>
      <c r="P530" s="89">
        <v>0</v>
      </c>
      <c r="Q530" s="89">
        <v>0</v>
      </c>
      <c r="R530" s="89">
        <v>0</v>
      </c>
    </row>
    <row r="531" spans="1:18" s="114" customFormat="1" ht="106.5" customHeight="1">
      <c r="A531" s="445"/>
      <c r="B531" s="519" t="s">
        <v>951</v>
      </c>
      <c r="C531" s="54"/>
      <c r="D531" s="54"/>
      <c r="E531" s="54"/>
      <c r="F531" s="540"/>
      <c r="G531" s="540"/>
      <c r="H531" s="540"/>
      <c r="I531" s="1" t="s">
        <v>1009</v>
      </c>
      <c r="J531" s="449" t="s">
        <v>68</v>
      </c>
      <c r="K531" s="450" t="s">
        <v>1010</v>
      </c>
      <c r="L531" s="519" t="s">
        <v>35</v>
      </c>
      <c r="M531" s="519" t="s">
        <v>41</v>
      </c>
      <c r="N531" s="89">
        <v>328.65600000000001</v>
      </c>
      <c r="O531" s="89">
        <v>328.65600000000001</v>
      </c>
      <c r="P531" s="89">
        <v>0</v>
      </c>
      <c r="Q531" s="89">
        <v>0</v>
      </c>
      <c r="R531" s="89">
        <v>0</v>
      </c>
    </row>
    <row r="532" spans="1:18" s="114" customFormat="1" ht="120">
      <c r="A532" s="106"/>
      <c r="B532" s="74" t="s">
        <v>488</v>
      </c>
      <c r="C532" s="106"/>
      <c r="D532" s="106"/>
      <c r="E532" s="106"/>
      <c r="F532" s="501" t="s">
        <v>1342</v>
      </c>
      <c r="G532" s="501" t="s">
        <v>1343</v>
      </c>
      <c r="H532" s="501" t="s">
        <v>523</v>
      </c>
      <c r="I532" s="443" t="s">
        <v>961</v>
      </c>
      <c r="J532" s="443" t="s">
        <v>68</v>
      </c>
      <c r="K532" s="443" t="s">
        <v>962</v>
      </c>
      <c r="L532" s="74" t="s">
        <v>35</v>
      </c>
      <c r="M532" s="74" t="s">
        <v>41</v>
      </c>
      <c r="N532" s="107">
        <v>194.5</v>
      </c>
      <c r="O532" s="107">
        <v>194.5</v>
      </c>
      <c r="P532" s="107">
        <v>0</v>
      </c>
      <c r="Q532" s="107">
        <v>0</v>
      </c>
      <c r="R532" s="107">
        <v>0</v>
      </c>
    </row>
    <row r="533" spans="1:18" s="115" customFormat="1" ht="84">
      <c r="A533" s="96" t="s">
        <v>696</v>
      </c>
      <c r="B533" s="484" t="s">
        <v>734</v>
      </c>
      <c r="C533" s="96"/>
      <c r="D533" s="96"/>
      <c r="E533" s="96"/>
      <c r="F533" s="96"/>
      <c r="G533" s="96"/>
      <c r="H533" s="96"/>
      <c r="I533" s="324" t="s">
        <v>416</v>
      </c>
      <c r="J533" s="440" t="s">
        <v>68</v>
      </c>
      <c r="K533" s="504" t="s">
        <v>118</v>
      </c>
      <c r="L533" s="102" t="s">
        <v>37</v>
      </c>
      <c r="M533" s="102" t="s">
        <v>35</v>
      </c>
      <c r="N533" s="96">
        <v>40</v>
      </c>
      <c r="O533" s="96">
        <v>40</v>
      </c>
      <c r="P533" s="96">
        <v>0</v>
      </c>
      <c r="Q533" s="96">
        <v>0</v>
      </c>
      <c r="R533" s="96">
        <v>0</v>
      </c>
    </row>
    <row r="534" spans="1:18" s="115" customFormat="1" ht="72">
      <c r="A534" s="78"/>
      <c r="B534" s="485"/>
      <c r="C534" s="78"/>
      <c r="D534" s="78"/>
      <c r="E534" s="78"/>
      <c r="F534" s="78"/>
      <c r="G534" s="78"/>
      <c r="H534" s="78"/>
      <c r="I534" s="1" t="s">
        <v>1051</v>
      </c>
      <c r="J534" s="449" t="s">
        <v>68</v>
      </c>
      <c r="K534" s="450" t="s">
        <v>1052</v>
      </c>
      <c r="L534" s="59"/>
      <c r="M534" s="59"/>
      <c r="N534" s="103"/>
      <c r="O534" s="103"/>
      <c r="P534" s="103"/>
      <c r="Q534" s="103"/>
      <c r="R534" s="103"/>
    </row>
    <row r="535" spans="1:18" s="115" customFormat="1" ht="48" hidden="1">
      <c r="A535" s="103"/>
      <c r="B535" s="59" t="s">
        <v>868</v>
      </c>
      <c r="C535" s="103"/>
      <c r="D535" s="103"/>
      <c r="E535" s="103"/>
      <c r="F535" s="103"/>
      <c r="G535" s="103"/>
      <c r="H535" s="103"/>
      <c r="I535" s="325"/>
      <c r="J535" s="441"/>
      <c r="K535" s="505"/>
      <c r="L535" s="334" t="s">
        <v>37</v>
      </c>
      <c r="M535" s="334" t="s">
        <v>35</v>
      </c>
      <c r="N535" s="103"/>
      <c r="O535" s="103"/>
      <c r="P535" s="335">
        <v>0</v>
      </c>
      <c r="Q535" s="103"/>
      <c r="R535" s="103"/>
    </row>
    <row r="536" spans="1:18" s="115" customFormat="1" ht="60" hidden="1">
      <c r="A536" s="69" t="s">
        <v>697</v>
      </c>
      <c r="B536" s="493">
        <v>2339</v>
      </c>
      <c r="C536" s="69"/>
      <c r="D536" s="69"/>
      <c r="E536" s="69"/>
      <c r="F536" s="69"/>
      <c r="G536" s="69"/>
      <c r="H536" s="69"/>
      <c r="I536" s="463" t="s">
        <v>513</v>
      </c>
      <c r="J536" s="463" t="s">
        <v>68</v>
      </c>
      <c r="K536" s="496" t="s">
        <v>514</v>
      </c>
      <c r="L536" s="104" t="s">
        <v>43</v>
      </c>
      <c r="M536" s="104" t="s">
        <v>43</v>
      </c>
      <c r="N536" s="359">
        <v>0</v>
      </c>
      <c r="O536" s="359">
        <v>0</v>
      </c>
      <c r="P536" s="359">
        <v>0</v>
      </c>
      <c r="Q536" s="359">
        <v>0</v>
      </c>
      <c r="R536" s="359">
        <v>0</v>
      </c>
    </row>
    <row r="537" spans="1:18" s="115" customFormat="1" ht="95.25" customHeight="1">
      <c r="A537" s="69" t="s">
        <v>1038</v>
      </c>
      <c r="B537" s="493" t="s">
        <v>1163</v>
      </c>
      <c r="C537" s="69"/>
      <c r="D537" s="69"/>
      <c r="E537" s="69"/>
      <c r="F537" s="491" t="s">
        <v>1349</v>
      </c>
      <c r="G537" s="491" t="s">
        <v>1350</v>
      </c>
      <c r="H537" s="491" t="s">
        <v>1351</v>
      </c>
      <c r="I537" s="463" t="s">
        <v>1270</v>
      </c>
      <c r="J537" s="463"/>
      <c r="K537" s="496"/>
      <c r="L537" s="104" t="s">
        <v>37</v>
      </c>
      <c r="M537" s="104" t="s">
        <v>35</v>
      </c>
      <c r="N537" s="359">
        <v>63.503999999999998</v>
      </c>
      <c r="O537" s="359">
        <v>63.503999999999998</v>
      </c>
      <c r="P537" s="359">
        <v>0</v>
      </c>
      <c r="Q537" s="359">
        <v>0</v>
      </c>
      <c r="R537" s="359">
        <v>0</v>
      </c>
    </row>
    <row r="538" spans="1:18" s="114" customFormat="1" ht="83.25" customHeight="1">
      <c r="A538" s="55" t="s">
        <v>698</v>
      </c>
      <c r="B538" s="468" t="s">
        <v>699</v>
      </c>
      <c r="C538" s="45"/>
      <c r="D538" s="45"/>
      <c r="E538" s="45"/>
      <c r="F538" s="45"/>
      <c r="G538" s="45"/>
      <c r="H538" s="45"/>
      <c r="I538" s="459" t="s">
        <v>508</v>
      </c>
      <c r="J538" s="81" t="s">
        <v>68</v>
      </c>
      <c r="K538" s="81" t="s">
        <v>509</v>
      </c>
      <c r="L538" s="494" t="s">
        <v>32</v>
      </c>
      <c r="M538" s="494" t="s">
        <v>43</v>
      </c>
      <c r="N538" s="56">
        <v>0</v>
      </c>
      <c r="O538" s="56">
        <v>0</v>
      </c>
      <c r="P538" s="56">
        <v>0</v>
      </c>
      <c r="Q538" s="56">
        <v>0</v>
      </c>
      <c r="R538" s="172">
        <v>0</v>
      </c>
    </row>
    <row r="539" spans="1:18" s="114" customFormat="1" ht="74.25" customHeight="1">
      <c r="A539" s="69" t="s">
        <v>700</v>
      </c>
      <c r="B539" s="104" t="s">
        <v>1039</v>
      </c>
      <c r="C539" s="491" t="s">
        <v>535</v>
      </c>
      <c r="D539" s="491" t="s">
        <v>537</v>
      </c>
      <c r="E539" s="491" t="s">
        <v>57</v>
      </c>
      <c r="F539" s="491"/>
      <c r="G539" s="491"/>
      <c r="H539" s="491"/>
      <c r="I539" s="178" t="s">
        <v>1042</v>
      </c>
      <c r="J539" s="362" t="s">
        <v>68</v>
      </c>
      <c r="K539" s="362" t="s">
        <v>1041</v>
      </c>
      <c r="L539" s="104" t="s">
        <v>37</v>
      </c>
      <c r="M539" s="104" t="s">
        <v>25</v>
      </c>
      <c r="N539" s="98">
        <v>54.9</v>
      </c>
      <c r="O539" s="98">
        <v>54.9</v>
      </c>
      <c r="P539" s="98">
        <v>0</v>
      </c>
      <c r="Q539" s="98">
        <v>0</v>
      </c>
      <c r="R539" s="98">
        <v>0</v>
      </c>
    </row>
    <row r="540" spans="1:18" s="114" customFormat="1" ht="84.75" customHeight="1">
      <c r="A540" s="451" t="s">
        <v>701</v>
      </c>
      <c r="B540" s="457" t="s">
        <v>702</v>
      </c>
      <c r="C540" s="34"/>
      <c r="D540" s="34"/>
      <c r="E540" s="34"/>
      <c r="F540" s="34"/>
      <c r="G540" s="34"/>
      <c r="H540" s="220"/>
      <c r="I540" s="221" t="s">
        <v>1239</v>
      </c>
      <c r="J540" s="490" t="s">
        <v>68</v>
      </c>
      <c r="K540" s="490" t="s">
        <v>309</v>
      </c>
      <c r="L540" s="493" t="s">
        <v>27</v>
      </c>
      <c r="M540" s="493" t="s">
        <v>41</v>
      </c>
      <c r="N540" s="98">
        <v>57848</v>
      </c>
      <c r="O540" s="98">
        <v>57848</v>
      </c>
      <c r="P540" s="415">
        <v>63710.400000000001</v>
      </c>
      <c r="Q540" s="38">
        <v>61511.5</v>
      </c>
      <c r="R540" s="169">
        <v>61511.5</v>
      </c>
    </row>
    <row r="541" spans="1:18" s="115" customFormat="1" ht="108.75" hidden="1" customHeight="1">
      <c r="A541" s="55" t="s">
        <v>6</v>
      </c>
      <c r="B541" s="468" t="s">
        <v>318</v>
      </c>
      <c r="C541" s="55" t="s">
        <v>31</v>
      </c>
      <c r="D541" s="55" t="s">
        <v>31</v>
      </c>
      <c r="E541" s="55" t="s">
        <v>31</v>
      </c>
      <c r="F541" s="55" t="s">
        <v>31</v>
      </c>
      <c r="G541" s="55" t="s">
        <v>31</v>
      </c>
      <c r="H541" s="55" t="s">
        <v>31</v>
      </c>
      <c r="I541" s="1" t="s">
        <v>319</v>
      </c>
      <c r="J541" s="1" t="s">
        <v>68</v>
      </c>
      <c r="K541" s="10" t="s">
        <v>316</v>
      </c>
      <c r="L541" s="468" t="s">
        <v>35</v>
      </c>
      <c r="M541" s="468" t="s">
        <v>36</v>
      </c>
      <c r="N541" s="55"/>
      <c r="O541" s="55"/>
      <c r="P541" s="55"/>
      <c r="Q541" s="55"/>
      <c r="R541" s="92"/>
    </row>
    <row r="542" spans="1:18" s="115" customFormat="1" ht="12.75" customHeight="1">
      <c r="A542" s="37" t="s">
        <v>703</v>
      </c>
      <c r="B542" s="467">
        <v>2352</v>
      </c>
      <c r="C542" s="37" t="s">
        <v>31</v>
      </c>
      <c r="D542" s="37" t="s">
        <v>31</v>
      </c>
      <c r="E542" s="37" t="s">
        <v>31</v>
      </c>
      <c r="F542" s="37" t="s">
        <v>31</v>
      </c>
      <c r="G542" s="37" t="s">
        <v>31</v>
      </c>
      <c r="H542" s="37" t="s">
        <v>31</v>
      </c>
      <c r="I542" s="37" t="s">
        <v>31</v>
      </c>
      <c r="J542" s="37" t="s">
        <v>31</v>
      </c>
      <c r="K542" s="79" t="s">
        <v>31</v>
      </c>
      <c r="L542" s="467" t="s">
        <v>23</v>
      </c>
      <c r="M542" s="467" t="s">
        <v>37</v>
      </c>
      <c r="N542" s="38">
        <f>SUM(N543:N544)</f>
        <v>2105.1099999999997</v>
      </c>
      <c r="O542" s="38">
        <f t="shared" ref="O542:R542" si="94">SUM(O543:O544)</f>
        <v>1263</v>
      </c>
      <c r="P542" s="38">
        <f t="shared" si="94"/>
        <v>2089.6509999999998</v>
      </c>
      <c r="Q542" s="38">
        <f t="shared" si="94"/>
        <v>0</v>
      </c>
      <c r="R542" s="38">
        <f t="shared" si="94"/>
        <v>0</v>
      </c>
    </row>
    <row r="543" spans="1:18" s="114" customFormat="1" ht="72.75" customHeight="1">
      <c r="A543" s="45"/>
      <c r="B543" s="508" t="s">
        <v>320</v>
      </c>
      <c r="C543" s="549" t="s">
        <v>367</v>
      </c>
      <c r="D543" s="549" t="s">
        <v>193</v>
      </c>
      <c r="E543" s="549" t="s">
        <v>194</v>
      </c>
      <c r="F543" s="549" t="s">
        <v>426</v>
      </c>
      <c r="G543" s="549" t="s">
        <v>427</v>
      </c>
      <c r="H543" s="629" t="s">
        <v>428</v>
      </c>
      <c r="I543" s="321" t="s">
        <v>1447</v>
      </c>
      <c r="J543" s="440" t="s">
        <v>68</v>
      </c>
      <c r="K543" s="326" t="s">
        <v>1448</v>
      </c>
      <c r="L543" s="459"/>
      <c r="M543" s="459"/>
      <c r="N543" s="20">
        <v>842</v>
      </c>
      <c r="O543" s="20">
        <v>842</v>
      </c>
      <c r="P543" s="20">
        <v>1247.577</v>
      </c>
      <c r="Q543" s="20">
        <v>0</v>
      </c>
      <c r="R543" s="170">
        <v>0</v>
      </c>
    </row>
    <row r="544" spans="1:18" s="114" customFormat="1" ht="86.25" customHeight="1">
      <c r="A544" s="45"/>
      <c r="B544" s="509" t="s">
        <v>871</v>
      </c>
      <c r="C544" s="564"/>
      <c r="D544" s="564"/>
      <c r="E544" s="564"/>
      <c r="F544" s="564"/>
      <c r="G544" s="564"/>
      <c r="H544" s="630"/>
      <c r="I544" s="188" t="s">
        <v>1255</v>
      </c>
      <c r="J544" s="449" t="s">
        <v>68</v>
      </c>
      <c r="K544" s="416" t="s">
        <v>1256</v>
      </c>
      <c r="L544" s="459"/>
      <c r="M544" s="459"/>
      <c r="N544" s="20">
        <v>1263.1099999999999</v>
      </c>
      <c r="O544" s="20">
        <v>421</v>
      </c>
      <c r="P544" s="20">
        <v>842.07399999999996</v>
      </c>
      <c r="Q544" s="20">
        <v>0</v>
      </c>
      <c r="R544" s="170">
        <v>0</v>
      </c>
    </row>
    <row r="545" spans="1:18" s="114" customFormat="1" ht="23.25" customHeight="1">
      <c r="A545" s="108" t="s">
        <v>53</v>
      </c>
      <c r="B545" s="488" t="s">
        <v>54</v>
      </c>
      <c r="C545" s="488" t="s">
        <v>29</v>
      </c>
      <c r="D545" s="488" t="s">
        <v>29</v>
      </c>
      <c r="E545" s="488" t="s">
        <v>29</v>
      </c>
      <c r="F545" s="488" t="s">
        <v>29</v>
      </c>
      <c r="G545" s="488" t="s">
        <v>29</v>
      </c>
      <c r="H545" s="488" t="s">
        <v>29</v>
      </c>
      <c r="I545" s="488" t="s">
        <v>29</v>
      </c>
      <c r="J545" s="488" t="s">
        <v>29</v>
      </c>
      <c r="K545" s="488" t="s">
        <v>29</v>
      </c>
      <c r="L545" s="488"/>
      <c r="M545" s="488"/>
      <c r="N545" s="111">
        <f>N6</f>
        <v>1777321.9390000002</v>
      </c>
      <c r="O545" s="111">
        <f>O6</f>
        <v>1729929.0179999999</v>
      </c>
      <c r="P545" s="111">
        <f>P6</f>
        <v>1811341.1582200001</v>
      </c>
      <c r="Q545" s="111">
        <f t="shared" ref="Q545:R545" si="95">Q6</f>
        <v>1539869.102</v>
      </c>
      <c r="R545" s="111">
        <f t="shared" si="95"/>
        <v>1323286.3900000001</v>
      </c>
    </row>
  </sheetData>
  <mergeCells count="364">
    <mergeCell ref="I89:I90"/>
    <mergeCell ref="J113:J114"/>
    <mergeCell ref="J61:J62"/>
    <mergeCell ref="K87:K88"/>
    <mergeCell ref="K61:K62"/>
    <mergeCell ref="K83:K84"/>
    <mergeCell ref="I326:I327"/>
    <mergeCell ref="I378:I380"/>
    <mergeCell ref="J378:J380"/>
    <mergeCell ref="K378:K380"/>
    <mergeCell ref="I451:I452"/>
    <mergeCell ref="J451:J452"/>
    <mergeCell ref="K451:K452"/>
    <mergeCell ref="I153:I155"/>
    <mergeCell ref="J153:J155"/>
    <mergeCell ref="K153:K155"/>
    <mergeCell ref="J381:J382"/>
    <mergeCell ref="A395:A396"/>
    <mergeCell ref="B395:B396"/>
    <mergeCell ref="C394:C397"/>
    <mergeCell ref="D394:D397"/>
    <mergeCell ref="E394:E397"/>
    <mergeCell ref="F394:F397"/>
    <mergeCell ref="G394:G397"/>
    <mergeCell ref="H394:H397"/>
    <mergeCell ref="F471:F474"/>
    <mergeCell ref="A458:A459"/>
    <mergeCell ref="F451:F452"/>
    <mergeCell ref="G451:G452"/>
    <mergeCell ref="H451:H452"/>
    <mergeCell ref="A286:A296"/>
    <mergeCell ref="B271:B272"/>
    <mergeCell ref="E278:E279"/>
    <mergeCell ref="F316:F317"/>
    <mergeCell ref="D278:D279"/>
    <mergeCell ref="D256:D257"/>
    <mergeCell ref="D286:D296"/>
    <mergeCell ref="C316:C320"/>
    <mergeCell ref="C286:C296"/>
    <mergeCell ref="F256:F257"/>
    <mergeCell ref="A284:A285"/>
    <mergeCell ref="C278:C279"/>
    <mergeCell ref="C256:C257"/>
    <mergeCell ref="A271:A272"/>
    <mergeCell ref="A280:A283"/>
    <mergeCell ref="G316:G317"/>
    <mergeCell ref="F286:F296"/>
    <mergeCell ref="K66:K67"/>
    <mergeCell ref="I120:I121"/>
    <mergeCell ref="I224:I225"/>
    <mergeCell ref="J224:J225"/>
    <mergeCell ref="K224:K225"/>
    <mergeCell ref="F140:F141"/>
    <mergeCell ref="G140:G141"/>
    <mergeCell ref="H140:H141"/>
    <mergeCell ref="G113:G114"/>
    <mergeCell ref="H113:H114"/>
    <mergeCell ref="I217:I218"/>
    <mergeCell ref="I241:I243"/>
    <mergeCell ref="F206:F207"/>
    <mergeCell ref="I221:I223"/>
    <mergeCell ref="F169:F174"/>
    <mergeCell ref="H256:H257"/>
    <mergeCell ref="G206:G207"/>
    <mergeCell ref="I219:I220"/>
    <mergeCell ref="F217:F218"/>
    <mergeCell ref="I87:I88"/>
    <mergeCell ref="K89:K90"/>
    <mergeCell ref="J89:J90"/>
    <mergeCell ref="A386:A388"/>
    <mergeCell ref="E381:E382"/>
    <mergeCell ref="G286:G296"/>
    <mergeCell ref="H286:H296"/>
    <mergeCell ref="I41:I42"/>
    <mergeCell ref="I318:I319"/>
    <mergeCell ref="J318:J319"/>
    <mergeCell ref="K318:K319"/>
    <mergeCell ref="I101:I102"/>
    <mergeCell ref="J101:J102"/>
    <mergeCell ref="F314:F315"/>
    <mergeCell ref="G241:G243"/>
    <mergeCell ref="H241:H243"/>
    <mergeCell ref="H217:H218"/>
    <mergeCell ref="F219:F220"/>
    <mergeCell ref="G219:G220"/>
    <mergeCell ref="H219:H220"/>
    <mergeCell ref="F221:F223"/>
    <mergeCell ref="G221:G223"/>
    <mergeCell ref="H221:H223"/>
    <mergeCell ref="G217:G218"/>
    <mergeCell ref="F241:F243"/>
    <mergeCell ref="I83:I84"/>
    <mergeCell ref="J83:J84"/>
    <mergeCell ref="A506:A507"/>
    <mergeCell ref="B506:B507"/>
    <mergeCell ref="C506:C507"/>
    <mergeCell ref="D506:D507"/>
    <mergeCell ref="E506:E507"/>
    <mergeCell ref="F506:F507"/>
    <mergeCell ref="F475:F478"/>
    <mergeCell ref="A475:A478"/>
    <mergeCell ref="G506:G507"/>
    <mergeCell ref="A480:A482"/>
    <mergeCell ref="G475:G478"/>
    <mergeCell ref="E475:E478"/>
    <mergeCell ref="D475:D478"/>
    <mergeCell ref="C475:C478"/>
    <mergeCell ref="H175:H177"/>
    <mergeCell ref="G175:G177"/>
    <mergeCell ref="Q149:Q150"/>
    <mergeCell ref="P149:P150"/>
    <mergeCell ref="H381:H382"/>
    <mergeCell ref="I286:I293"/>
    <mergeCell ref="F381:F383"/>
    <mergeCell ref="F325:F327"/>
    <mergeCell ref="E405:E406"/>
    <mergeCell ref="H405:H406"/>
    <mergeCell ref="G390:G392"/>
    <mergeCell ref="F405:F406"/>
    <mergeCell ref="G325:G327"/>
    <mergeCell ref="E316:E320"/>
    <mergeCell ref="E286:E296"/>
    <mergeCell ref="E325:E326"/>
    <mergeCell ref="H316:H317"/>
    <mergeCell ref="I364:I365"/>
    <mergeCell ref="H325:H327"/>
    <mergeCell ref="I381:I382"/>
    <mergeCell ref="G405:G406"/>
    <mergeCell ref="E390:E392"/>
    <mergeCell ref="I294:I296"/>
    <mergeCell ref="H390:H392"/>
    <mergeCell ref="J405:J406"/>
    <mergeCell ref="J286:J293"/>
    <mergeCell ref="J294:J296"/>
    <mergeCell ref="J521:J522"/>
    <mergeCell ref="K286:K293"/>
    <mergeCell ref="J390:J392"/>
    <mergeCell ref="K390:K392"/>
    <mergeCell ref="R149:R150"/>
    <mergeCell ref="M176:M177"/>
    <mergeCell ref="L176:L177"/>
    <mergeCell ref="M149:M150"/>
    <mergeCell ref="L149:L150"/>
    <mergeCell ref="N149:N150"/>
    <mergeCell ref="O149:O150"/>
    <mergeCell ref="M184:M185"/>
    <mergeCell ref="L184:L185"/>
    <mergeCell ref="K251:K252"/>
    <mergeCell ref="K326:K327"/>
    <mergeCell ref="K241:K243"/>
    <mergeCell ref="K256:K257"/>
    <mergeCell ref="J256:J257"/>
    <mergeCell ref="J219:J220"/>
    <mergeCell ref="J241:J243"/>
    <mergeCell ref="J251:J252"/>
    <mergeCell ref="J221:J223"/>
    <mergeCell ref="K294:K296"/>
    <mergeCell ref="K221:K223"/>
    <mergeCell ref="K219:K220"/>
    <mergeCell ref="J326:J327"/>
    <mergeCell ref="G471:G474"/>
    <mergeCell ref="J472:J473"/>
    <mergeCell ref="K472:K473"/>
    <mergeCell ref="I524:I526"/>
    <mergeCell ref="J524:J526"/>
    <mergeCell ref="K524:K526"/>
    <mergeCell ref="G530:G531"/>
    <mergeCell ref="H530:H531"/>
    <mergeCell ref="I518:I519"/>
    <mergeCell ref="I521:I522"/>
    <mergeCell ref="K521:K522"/>
    <mergeCell ref="I472:I473"/>
    <mergeCell ref="J518:J519"/>
    <mergeCell ref="K518:K519"/>
    <mergeCell ref="H518:H519"/>
    <mergeCell ref="H506:H507"/>
    <mergeCell ref="H475:H478"/>
    <mergeCell ref="I475:I477"/>
    <mergeCell ref="J475:J477"/>
    <mergeCell ref="K475:K477"/>
    <mergeCell ref="H471:H474"/>
    <mergeCell ref="L2:M3"/>
    <mergeCell ref="N3:O3"/>
    <mergeCell ref="C543:C544"/>
    <mergeCell ref="D543:D544"/>
    <mergeCell ref="E543:E544"/>
    <mergeCell ref="F543:F544"/>
    <mergeCell ref="E518:E519"/>
    <mergeCell ref="F518:F519"/>
    <mergeCell ref="C518:C519"/>
    <mergeCell ref="D518:D519"/>
    <mergeCell ref="D471:D474"/>
    <mergeCell ref="C471:C474"/>
    <mergeCell ref="F530:F531"/>
    <mergeCell ref="F521:F522"/>
    <mergeCell ref="E471:E474"/>
    <mergeCell ref="G543:G544"/>
    <mergeCell ref="H543:H544"/>
    <mergeCell ref="K405:K406"/>
    <mergeCell ref="I405:I406"/>
    <mergeCell ref="G518:G519"/>
    <mergeCell ref="G381:G382"/>
    <mergeCell ref="K381:K382"/>
    <mergeCell ref="G521:G522"/>
    <mergeCell ref="H521:H522"/>
    <mergeCell ref="K59:K60"/>
    <mergeCell ref="J87:J88"/>
    <mergeCell ref="B17:B18"/>
    <mergeCell ref="C36:C37"/>
    <mergeCell ref="K36:K37"/>
    <mergeCell ref="J36:J37"/>
    <mergeCell ref="H36:H37"/>
    <mergeCell ref="I36:I37"/>
    <mergeCell ref="E36:E37"/>
    <mergeCell ref="G36:G37"/>
    <mergeCell ref="F36:F37"/>
    <mergeCell ref="D28:D29"/>
    <mergeCell ref="C28:C29"/>
    <mergeCell ref="F39:F40"/>
    <mergeCell ref="H43:H44"/>
    <mergeCell ref="F43:F44"/>
    <mergeCell ref="I54:I55"/>
    <mergeCell ref="J54:J55"/>
    <mergeCell ref="I43:I44"/>
    <mergeCell ref="J43:J44"/>
    <mergeCell ref="K43:K44"/>
    <mergeCell ref="I61:I62"/>
    <mergeCell ref="I113:I114"/>
    <mergeCell ref="F251:F252"/>
    <mergeCell ref="B12:B15"/>
    <mergeCell ref="A1:R1"/>
    <mergeCell ref="C2:K2"/>
    <mergeCell ref="C3:E3"/>
    <mergeCell ref="I3:K3"/>
    <mergeCell ref="F3:H3"/>
    <mergeCell ref="K113:K114"/>
    <mergeCell ref="F83:F84"/>
    <mergeCell ref="H110:H111"/>
    <mergeCell ref="A50:A52"/>
    <mergeCell ref="A79:A81"/>
    <mergeCell ref="B79:B81"/>
    <mergeCell ref="A36:A37"/>
    <mergeCell ref="B36:B37"/>
    <mergeCell ref="B50:B52"/>
    <mergeCell ref="B2:B4"/>
    <mergeCell ref="I59:I60"/>
    <mergeCell ref="N2:R2"/>
    <mergeCell ref="P3:P4"/>
    <mergeCell ref="F28:F29"/>
    <mergeCell ref="B9:B10"/>
    <mergeCell ref="J59:J60"/>
    <mergeCell ref="A527:A528"/>
    <mergeCell ref="A390:A392"/>
    <mergeCell ref="A451:A452"/>
    <mergeCell ref="Q3:Q4"/>
    <mergeCell ref="A83:A84"/>
    <mergeCell ref="A2:A4"/>
    <mergeCell ref="I251:I252"/>
    <mergeCell ref="D113:D114"/>
    <mergeCell ref="D251:D252"/>
    <mergeCell ref="G127:G128"/>
    <mergeCell ref="G83:G84"/>
    <mergeCell ref="H83:H84"/>
    <mergeCell ref="H206:H207"/>
    <mergeCell ref="G134:G135"/>
    <mergeCell ref="F127:F128"/>
    <mergeCell ref="A9:A10"/>
    <mergeCell ref="A17:A18"/>
    <mergeCell ref="A19:A20"/>
    <mergeCell ref="B19:B20"/>
    <mergeCell ref="A113:A114"/>
    <mergeCell ref="A12:A15"/>
    <mergeCell ref="E28:E29"/>
    <mergeCell ref="D36:D37"/>
    <mergeCell ref="K54:K55"/>
    <mergeCell ref="F390:F392"/>
    <mergeCell ref="D325:D326"/>
    <mergeCell ref="B286:B296"/>
    <mergeCell ref="A381:A383"/>
    <mergeCell ref="A147:A148"/>
    <mergeCell ref="D316:D320"/>
    <mergeCell ref="G251:G252"/>
    <mergeCell ref="F232:F233"/>
    <mergeCell ref="E191:E193"/>
    <mergeCell ref="C325:C327"/>
    <mergeCell ref="D390:D392"/>
    <mergeCell ref="A152:A156"/>
    <mergeCell ref="A175:A177"/>
    <mergeCell ref="B364:B365"/>
    <mergeCell ref="A366:A367"/>
    <mergeCell ref="A213:A214"/>
    <mergeCell ref="C147:C148"/>
    <mergeCell ref="A178:A180"/>
    <mergeCell ref="C251:C252"/>
    <mergeCell ref="F175:F177"/>
    <mergeCell ref="E364:E365"/>
    <mergeCell ref="F364:F365"/>
    <mergeCell ref="G364:G365"/>
    <mergeCell ref="F318:F321"/>
    <mergeCell ref="H134:H135"/>
    <mergeCell ref="F110:F111"/>
    <mergeCell ref="E113:E114"/>
    <mergeCell ref="C113:C114"/>
    <mergeCell ref="H127:H128"/>
    <mergeCell ref="F134:F135"/>
    <mergeCell ref="F131:F132"/>
    <mergeCell ref="H54:H55"/>
    <mergeCell ref="H364:H365"/>
    <mergeCell ref="C364:C365"/>
    <mergeCell ref="D364:D365"/>
    <mergeCell ref="E134:E135"/>
    <mergeCell ref="D191:D193"/>
    <mergeCell ref="E175:E177"/>
    <mergeCell ref="D134:D135"/>
    <mergeCell ref="D147:D148"/>
    <mergeCell ref="E251:E252"/>
    <mergeCell ref="C175:C177"/>
    <mergeCell ref="C191:C193"/>
    <mergeCell ref="D175:D177"/>
    <mergeCell ref="C153:C156"/>
    <mergeCell ref="D153:D156"/>
    <mergeCell ref="E153:E156"/>
    <mergeCell ref="F54:F55"/>
    <mergeCell ref="G54:G55"/>
    <mergeCell ref="G110:G111"/>
    <mergeCell ref="F113:F114"/>
    <mergeCell ref="B129:B130"/>
    <mergeCell ref="E147:E148"/>
    <mergeCell ref="C134:C135"/>
    <mergeCell ref="A54:A55"/>
    <mergeCell ref="A61:A62"/>
    <mergeCell ref="A59:A60"/>
    <mergeCell ref="A87:A88"/>
    <mergeCell ref="A89:A90"/>
    <mergeCell ref="A110:A111"/>
    <mergeCell ref="B110:B111"/>
    <mergeCell ref="A129:A130"/>
    <mergeCell ref="A131:A132"/>
    <mergeCell ref="A133:A135"/>
    <mergeCell ref="B134:B135"/>
    <mergeCell ref="I66:I67"/>
    <mergeCell ref="J66:J67"/>
    <mergeCell ref="I527:I528"/>
    <mergeCell ref="J527:J528"/>
    <mergeCell ref="J364:J365"/>
    <mergeCell ref="K364:K365"/>
    <mergeCell ref="A202:A204"/>
    <mergeCell ref="A169:A174"/>
    <mergeCell ref="I179:I180"/>
    <mergeCell ref="J179:J180"/>
    <mergeCell ref="K179:K180"/>
    <mergeCell ref="I256:I257"/>
    <mergeCell ref="G256:G257"/>
    <mergeCell ref="F278:F279"/>
    <mergeCell ref="E256:E257"/>
    <mergeCell ref="H251:H252"/>
    <mergeCell ref="I390:I392"/>
    <mergeCell ref="A352:A353"/>
    <mergeCell ref="C390:C392"/>
    <mergeCell ref="D405:D406"/>
    <mergeCell ref="A471:A474"/>
    <mergeCell ref="C405:C406"/>
    <mergeCell ref="D381:D382"/>
    <mergeCell ref="C381:C382"/>
  </mergeCells>
  <phoneticPr fontId="0" type="noConversion"/>
  <pageMargins left="0.15748031496062992" right="0" top="1.0236220472440944" bottom="0.6692913385826772" header="0.39370078740157483" footer="0.39370078740157483"/>
  <pageSetup paperSize="9" scale="61" orientation="landscape" r:id="rId1"/>
  <headerFooter alignWithMargins="0">
    <oddFooter>&amp;L&amp;C&amp;"Arial"&amp;10&amp;P &amp;R</oddFooter>
  </headerFooter>
</worksheet>
</file>

<file path=xl/worksheets/sheet2.xml><?xml version="1.0" encoding="utf-8"?>
<worksheet xmlns="http://schemas.openxmlformats.org/spreadsheetml/2006/main" xmlns:r="http://schemas.openxmlformats.org/officeDocument/2006/relationships">
  <dimension ref="A2:EY44"/>
  <sheetViews>
    <sheetView zoomScaleNormal="100" workbookViewId="0">
      <pane xSplit="1" ySplit="2" topLeftCell="DA15" activePane="bottomRight" state="frozen"/>
      <selection pane="topRight" activeCell="B1" sqref="B1"/>
      <selection pane="bottomLeft" activeCell="A3" sqref="A3"/>
      <selection pane="bottomRight" activeCell="EU44" sqref="EU44"/>
    </sheetView>
  </sheetViews>
  <sheetFormatPr defaultRowHeight="12.75"/>
  <cols>
    <col min="1" max="1" width="6" style="130" customWidth="1"/>
    <col min="2" max="3" width="8.85546875" style="131" hidden="1" customWidth="1"/>
    <col min="4" max="4" width="6.7109375" style="131" hidden="1" customWidth="1"/>
    <col min="5" max="5" width="4.7109375" style="131" hidden="1" customWidth="1"/>
    <col min="6" max="7" width="7.28515625" style="131" hidden="1" customWidth="1"/>
    <col min="8" max="9" width="7.140625" style="131" hidden="1" customWidth="1"/>
    <col min="10" max="13" width="7.5703125" style="131" hidden="1" customWidth="1"/>
    <col min="14" max="15" width="9.7109375" style="131" hidden="1" customWidth="1"/>
    <col min="16" max="17" width="8.85546875" style="131" hidden="1" customWidth="1"/>
    <col min="18" max="19" width="8.28515625" style="131" hidden="1" customWidth="1"/>
    <col min="20" max="21" width="8.140625" style="131" hidden="1" customWidth="1"/>
    <col min="22" max="23" width="7.7109375" style="131" hidden="1" customWidth="1"/>
    <col min="24" max="25" width="6" style="131" hidden="1" customWidth="1"/>
    <col min="26" max="26" width="7.42578125" style="131" hidden="1" customWidth="1"/>
    <col min="27" max="27" width="8.85546875" style="131" hidden="1" customWidth="1"/>
    <col min="28" max="29" width="7.85546875" style="131" hidden="1" customWidth="1"/>
    <col min="30" max="31" width="8.28515625" style="131" hidden="1" customWidth="1"/>
    <col min="32" max="33" width="8.28515625" style="372" hidden="1" customWidth="1"/>
    <col min="34" max="37" width="6.28515625" style="131" hidden="1" customWidth="1"/>
    <col min="38" max="39" width="7.5703125" style="131" hidden="1" customWidth="1"/>
    <col min="40" max="41" width="7.7109375" style="131" hidden="1" customWidth="1"/>
    <col min="42" max="43" width="8.42578125" style="131" hidden="1" customWidth="1"/>
    <col min="44" max="45" width="6.7109375" style="131" hidden="1" customWidth="1"/>
    <col min="46" max="47" width="8.7109375" style="131" hidden="1" customWidth="1"/>
    <col min="48" max="49" width="8.140625" style="36" hidden="1" customWidth="1"/>
    <col min="50" max="51" width="8.7109375" style="36" hidden="1" customWidth="1"/>
    <col min="52" max="53" width="8.5703125" style="36" hidden="1" customWidth="1"/>
    <col min="54" max="57" width="8.140625" style="36" hidden="1" customWidth="1"/>
    <col min="58" max="59" width="6.140625" style="36" hidden="1" customWidth="1"/>
    <col min="60" max="61" width="6.28515625" style="36" hidden="1" customWidth="1"/>
    <col min="62" max="63" width="8.42578125" style="36" hidden="1" customWidth="1"/>
    <col min="64" max="65" width="7.42578125" style="36" hidden="1" customWidth="1"/>
    <col min="66" max="67" width="7.42578125" style="350" hidden="1" customWidth="1"/>
    <col min="68" max="69" width="7.42578125" style="36" hidden="1" customWidth="1"/>
    <col min="70" max="71" width="9.140625" style="36" hidden="1" customWidth="1"/>
    <col min="72" max="73" width="6.42578125" style="36" hidden="1" customWidth="1"/>
    <col min="74" max="75" width="7.42578125" style="36" hidden="1" customWidth="1"/>
    <col min="76" max="77" width="7.28515625" style="36" hidden="1" customWidth="1"/>
    <col min="78" max="79" width="6.140625" style="36" hidden="1" customWidth="1"/>
    <col min="80" max="81" width="6.85546875" style="36" hidden="1" customWidth="1"/>
    <col min="82" max="83" width="6.140625" style="36" hidden="1" customWidth="1"/>
    <col min="84" max="84" width="7.42578125" style="36" hidden="1" customWidth="1"/>
    <col min="85" max="85" width="6.28515625" style="36" hidden="1" customWidth="1"/>
    <col min="86" max="87" width="7.5703125" style="36" hidden="1" customWidth="1"/>
    <col min="88" max="93" width="7.42578125" style="36" hidden="1" customWidth="1"/>
    <col min="94" max="94" width="7.28515625" style="36" hidden="1" customWidth="1"/>
    <col min="95" max="95" width="6.7109375" style="36" hidden="1" customWidth="1"/>
    <col min="96" max="97" width="9" style="36" hidden="1" customWidth="1"/>
    <col min="98" max="99" width="7.5703125" style="36" hidden="1" customWidth="1"/>
    <col min="100" max="101" width="9.140625" style="36" hidden="1" customWidth="1"/>
    <col min="102" max="103" width="11.28515625" style="36" hidden="1" customWidth="1"/>
    <col min="104" max="105" width="8.85546875" style="36" customWidth="1"/>
    <col min="106" max="107" width="8" style="36" customWidth="1"/>
    <col min="108" max="109" width="8.42578125" style="36" customWidth="1"/>
    <col min="110" max="111" width="5.85546875" style="36" customWidth="1"/>
    <col min="112" max="113" width="9.5703125" style="36" customWidth="1"/>
    <col min="114" max="115" width="8.42578125" style="36" customWidth="1"/>
    <col min="116" max="117" width="6.7109375" style="36" customWidth="1"/>
    <col min="118" max="118" width="9.42578125" style="36" customWidth="1"/>
    <col min="119" max="119" width="9.140625" style="36" customWidth="1"/>
    <col min="120" max="121" width="6.5703125" style="36" hidden="1" customWidth="1"/>
    <col min="122" max="123" width="7.5703125" style="36" hidden="1" customWidth="1"/>
    <col min="124" max="124" width="8.85546875" style="36" customWidth="1"/>
    <col min="125" max="125" width="9.7109375" style="36" customWidth="1"/>
    <col min="126" max="129" width="8.7109375" style="36" customWidth="1"/>
    <col min="130" max="131" width="7.85546875" style="36" customWidth="1"/>
    <col min="132" max="133" width="7.28515625" style="36" customWidth="1"/>
    <col min="134" max="134" width="8.42578125" style="350" customWidth="1"/>
    <col min="135" max="135" width="8.28515625" style="350" customWidth="1"/>
    <col min="136" max="137" width="8.85546875" style="36" customWidth="1"/>
    <col min="138" max="141" width="8.85546875" style="350" customWidth="1"/>
    <col min="142" max="143" width="6" style="36" customWidth="1"/>
    <col min="144" max="147" width="6" style="350" customWidth="1"/>
    <col min="148" max="149" width="9" style="36" customWidth="1"/>
    <col min="150" max="151" width="9.28515625" style="36" customWidth="1"/>
    <col min="152" max="153" width="12" style="36" customWidth="1"/>
    <col min="154" max="155" width="9.140625" style="374"/>
    <col min="156" max="16384" width="9.140625" style="36"/>
  </cols>
  <sheetData>
    <row r="2" spans="1:155" s="127" customFormat="1">
      <c r="A2" s="126"/>
      <c r="B2" s="670" t="s">
        <v>34</v>
      </c>
      <c r="C2" s="671"/>
      <c r="D2" s="670" t="s">
        <v>393</v>
      </c>
      <c r="E2" s="671"/>
      <c r="F2" s="670" t="s">
        <v>39</v>
      </c>
      <c r="G2" s="671"/>
      <c r="H2" s="670" t="s">
        <v>602</v>
      </c>
      <c r="I2" s="671"/>
      <c r="J2" s="670" t="s">
        <v>388</v>
      </c>
      <c r="K2" s="671"/>
      <c r="L2" s="670" t="s">
        <v>42</v>
      </c>
      <c r="M2" s="671"/>
      <c r="N2" s="670" t="s">
        <v>746</v>
      </c>
      <c r="O2" s="671"/>
      <c r="P2" s="670" t="s">
        <v>386</v>
      </c>
      <c r="Q2" s="671"/>
      <c r="R2" s="670" t="s">
        <v>568</v>
      </c>
      <c r="S2" s="671"/>
      <c r="T2" s="670" t="s">
        <v>612</v>
      </c>
      <c r="U2" s="671"/>
      <c r="V2" s="670" t="s">
        <v>574</v>
      </c>
      <c r="W2" s="671"/>
      <c r="X2" s="670" t="s">
        <v>44</v>
      </c>
      <c r="Y2" s="671"/>
      <c r="Z2" s="670" t="s">
        <v>575</v>
      </c>
      <c r="AA2" s="671"/>
      <c r="AB2" s="670" t="s">
        <v>739</v>
      </c>
      <c r="AC2" s="671"/>
      <c r="AD2" s="670" t="s">
        <v>567</v>
      </c>
      <c r="AE2" s="671"/>
      <c r="AF2" s="672" t="s">
        <v>1040</v>
      </c>
      <c r="AG2" s="673"/>
      <c r="AH2" s="670" t="s">
        <v>744</v>
      </c>
      <c r="AI2" s="671"/>
      <c r="AJ2" s="670" t="s">
        <v>745</v>
      </c>
      <c r="AK2" s="671"/>
      <c r="AL2" s="670" t="s">
        <v>623</v>
      </c>
      <c r="AM2" s="671"/>
      <c r="AN2" s="670" t="s">
        <v>627</v>
      </c>
      <c r="AO2" s="671"/>
      <c r="AP2" s="670" t="s">
        <v>749</v>
      </c>
      <c r="AQ2" s="671"/>
      <c r="AR2" s="670" t="s">
        <v>45</v>
      </c>
      <c r="AS2" s="671"/>
      <c r="AT2" s="670" t="s">
        <v>747</v>
      </c>
      <c r="AU2" s="671"/>
      <c r="AV2" s="670" t="s">
        <v>48</v>
      </c>
      <c r="AW2" s="671"/>
      <c r="AX2" s="670" t="s">
        <v>748</v>
      </c>
      <c r="AY2" s="671"/>
      <c r="AZ2" s="670" t="s">
        <v>736</v>
      </c>
      <c r="BA2" s="671"/>
      <c r="BB2" s="670" t="s">
        <v>564</v>
      </c>
      <c r="BC2" s="671"/>
      <c r="BD2" s="670" t="s">
        <v>569</v>
      </c>
      <c r="BE2" s="671"/>
      <c r="BF2" s="670" t="s">
        <v>773</v>
      </c>
      <c r="BG2" s="671"/>
      <c r="BH2" s="670" t="s">
        <v>565</v>
      </c>
      <c r="BI2" s="671"/>
      <c r="BJ2" s="670" t="s">
        <v>740</v>
      </c>
      <c r="BK2" s="671"/>
      <c r="BL2" s="670" t="s">
        <v>737</v>
      </c>
      <c r="BM2" s="671"/>
      <c r="BN2" s="674" t="s">
        <v>1116</v>
      </c>
      <c r="BO2" s="675"/>
      <c r="BP2" s="670" t="s">
        <v>735</v>
      </c>
      <c r="BQ2" s="671"/>
      <c r="BR2" s="670" t="s">
        <v>738</v>
      </c>
      <c r="BS2" s="671"/>
      <c r="BT2" s="670" t="s">
        <v>566</v>
      </c>
      <c r="BU2" s="671"/>
      <c r="BV2" s="670" t="s">
        <v>52</v>
      </c>
      <c r="BW2" s="671"/>
      <c r="BX2" s="670" t="s">
        <v>741</v>
      </c>
      <c r="BY2" s="671"/>
      <c r="BZ2" s="670" t="s">
        <v>742</v>
      </c>
      <c r="CA2" s="671"/>
      <c r="CB2" s="670" t="s">
        <v>743</v>
      </c>
      <c r="CC2" s="671"/>
      <c r="CD2" s="670" t="s">
        <v>751</v>
      </c>
      <c r="CE2" s="671"/>
      <c r="CF2" s="670" t="s">
        <v>759</v>
      </c>
      <c r="CG2" s="671"/>
      <c r="CH2" s="670" t="s">
        <v>754</v>
      </c>
      <c r="CI2" s="671"/>
      <c r="CJ2" s="670" t="s">
        <v>576</v>
      </c>
      <c r="CK2" s="671"/>
      <c r="CL2" s="670" t="s">
        <v>750</v>
      </c>
      <c r="CM2" s="671"/>
      <c r="CN2" s="670" t="s">
        <v>752</v>
      </c>
      <c r="CO2" s="671"/>
      <c r="CP2" s="670" t="s">
        <v>755</v>
      </c>
      <c r="CQ2" s="671"/>
      <c r="CR2" s="670" t="s">
        <v>758</v>
      </c>
      <c r="CS2" s="671"/>
      <c r="CT2" s="670" t="s">
        <v>753</v>
      </c>
      <c r="CU2" s="671"/>
      <c r="CV2" s="670" t="s">
        <v>757</v>
      </c>
      <c r="CW2" s="671"/>
      <c r="CX2" s="670" t="s">
        <v>756</v>
      </c>
      <c r="CY2" s="671"/>
      <c r="CZ2" s="670" t="s">
        <v>772</v>
      </c>
      <c r="DA2" s="671"/>
      <c r="DB2" s="670" t="s">
        <v>761</v>
      </c>
      <c r="DC2" s="671"/>
      <c r="DD2" s="670" t="s">
        <v>769</v>
      </c>
      <c r="DE2" s="671"/>
      <c r="DF2" s="670" t="s">
        <v>760</v>
      </c>
      <c r="DG2" s="671"/>
      <c r="DH2" s="670" t="s">
        <v>767</v>
      </c>
      <c r="DI2" s="671"/>
      <c r="DJ2" s="670" t="s">
        <v>764</v>
      </c>
      <c r="DK2" s="671"/>
      <c r="DL2" s="670" t="s">
        <v>676</v>
      </c>
      <c r="DM2" s="671"/>
      <c r="DN2" s="670" t="s">
        <v>677</v>
      </c>
      <c r="DO2" s="671"/>
      <c r="DP2" s="670" t="s">
        <v>680</v>
      </c>
      <c r="DQ2" s="671"/>
      <c r="DR2" s="670" t="s">
        <v>762</v>
      </c>
      <c r="DS2" s="671"/>
      <c r="DT2" s="670" t="s">
        <v>765</v>
      </c>
      <c r="DU2" s="671"/>
      <c r="DV2" s="670" t="s">
        <v>911</v>
      </c>
      <c r="DW2" s="671"/>
      <c r="DX2" s="670" t="s">
        <v>982</v>
      </c>
      <c r="DY2" s="671"/>
      <c r="DZ2" s="670" t="s">
        <v>771</v>
      </c>
      <c r="EA2" s="671"/>
      <c r="EB2" s="670" t="s">
        <v>687</v>
      </c>
      <c r="EC2" s="671"/>
      <c r="ED2" s="674" t="s">
        <v>1119</v>
      </c>
      <c r="EE2" s="675"/>
      <c r="EF2" s="670" t="s">
        <v>768</v>
      </c>
      <c r="EG2" s="671"/>
      <c r="EH2" s="674" t="s">
        <v>856</v>
      </c>
      <c r="EI2" s="675"/>
      <c r="EJ2" s="674" t="s">
        <v>949</v>
      </c>
      <c r="EK2" s="675"/>
      <c r="EL2" s="670" t="s">
        <v>763</v>
      </c>
      <c r="EM2" s="671"/>
      <c r="EN2" s="674" t="s">
        <v>1117</v>
      </c>
      <c r="EO2" s="675"/>
      <c r="EP2" s="674" t="s">
        <v>1118</v>
      </c>
      <c r="EQ2" s="675"/>
      <c r="ER2" s="670" t="s">
        <v>702</v>
      </c>
      <c r="ES2" s="671"/>
      <c r="ET2" s="670" t="s">
        <v>770</v>
      </c>
      <c r="EU2" s="671"/>
      <c r="EV2" s="676" t="s">
        <v>406</v>
      </c>
      <c r="EW2" s="676"/>
      <c r="EX2" s="373"/>
      <c r="EY2" s="373"/>
    </row>
    <row r="3" spans="1:155">
      <c r="A3" s="128" t="s">
        <v>379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71"/>
      <c r="AG3" s="371"/>
      <c r="AH3" s="35"/>
      <c r="AI3" s="35"/>
      <c r="AJ3" s="35"/>
      <c r="AK3" s="35"/>
      <c r="AL3" s="35"/>
      <c r="AM3" s="35"/>
      <c r="AN3" s="35"/>
      <c r="AO3" s="35"/>
      <c r="AP3" s="35"/>
      <c r="AQ3" s="35"/>
      <c r="AR3" s="35"/>
      <c r="AS3" s="35"/>
      <c r="AT3" s="35"/>
      <c r="AU3" s="35"/>
      <c r="AV3" s="35"/>
      <c r="AW3" s="35"/>
      <c r="AX3" s="35"/>
      <c r="AY3" s="35"/>
      <c r="AZ3" s="35"/>
      <c r="BA3" s="35"/>
      <c r="BB3" s="35">
        <v>629.99400000000003</v>
      </c>
      <c r="BC3" s="35">
        <v>532.61199999999997</v>
      </c>
      <c r="BD3" s="35">
        <v>2419.299</v>
      </c>
      <c r="BE3" s="35">
        <v>2419.2530000000002</v>
      </c>
      <c r="BF3" s="35"/>
      <c r="BG3" s="35"/>
      <c r="BH3" s="35"/>
      <c r="BI3" s="35"/>
      <c r="BJ3" s="35"/>
      <c r="BK3" s="35"/>
      <c r="BL3" s="35"/>
      <c r="BM3" s="35"/>
      <c r="BN3" s="349"/>
      <c r="BO3" s="349"/>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49"/>
      <c r="EE3" s="349"/>
      <c r="EF3" s="35"/>
      <c r="EG3" s="35"/>
      <c r="EH3" s="349"/>
      <c r="EI3" s="349"/>
      <c r="EJ3" s="349"/>
      <c r="EK3" s="349"/>
      <c r="EL3" s="35"/>
      <c r="EM3" s="35"/>
      <c r="EN3" s="349"/>
      <c r="EO3" s="349"/>
      <c r="EP3" s="349"/>
      <c r="EQ3" s="349"/>
      <c r="ER3" s="35"/>
      <c r="ES3" s="35"/>
      <c r="ET3" s="35"/>
      <c r="EU3" s="35"/>
      <c r="EV3" s="222">
        <f t="shared" ref="EV3:EV30" si="0">B3+D3+F3+H3+J3+L3+N3+P3+R3+T3+V3+X3+Z3+AB3+AD3+AF3+AH3+AJ3+AL3+AN3+AP3+AR3+AT3+AV3+AX3+AZ3+BB3+BD3+BF3+BH3+BJ3+BL3+BN3+BP3+BR3+BT3+BV3+BX3+BZ3+CB3+CD3+CF3+CH3+CJ3+CL3+CN3+CP3+CR3+CT3+CV3+CX3+CZ3+DB3+DD3+DF3+DH3+DJ3+DL3+DN3+DP3+DR3+DT3+DZ3+EB3+EF3+EL3+ER3+ET3</f>
        <v>3049.2930000000001</v>
      </c>
      <c r="EW3" s="222">
        <f t="shared" ref="EW3:EW30" si="1">C3+E3+G3+I3+K3+M3+O3+Q3+S3+U3+W3+Y3+AA3+AC3+AE3+AG3+AI3+AK3+AM3+AO3+AQ3+AS3+AU3+AW3+AY3+BA3+BC3+BE3+BG3+BI3+BK3+BM3+BO3+BQ3+BS3+BU3+BW3+BY3+CA3+CC3+CE3+CG3+CI3+CK3+CM3+CO3+CQ3+CS3+CU3+CW3+CY3+DA3+DC3+DE3+DG3+DI3+DK3+DM3+DO3+DQ3+DS3+DU3+EA3+EC3+EG3+EM3+ES3+EU3</f>
        <v>2951.8650000000002</v>
      </c>
    </row>
    <row r="4" spans="1:155">
      <c r="A4" s="128" t="s">
        <v>380</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71"/>
      <c r="AG4" s="371"/>
      <c r="AH4" s="35"/>
      <c r="AI4" s="35"/>
      <c r="AJ4" s="35"/>
      <c r="AK4" s="35"/>
      <c r="AL4" s="35"/>
      <c r="AM4" s="35"/>
      <c r="AN4" s="35"/>
      <c r="AO4" s="35"/>
      <c r="AP4" s="35"/>
      <c r="AQ4" s="35"/>
      <c r="AR4" s="35"/>
      <c r="AS4" s="35"/>
      <c r="AT4" s="35"/>
      <c r="AU4" s="35"/>
      <c r="AV4" s="35"/>
      <c r="AW4" s="35"/>
      <c r="AX4" s="35"/>
      <c r="AY4" s="35"/>
      <c r="AZ4" s="35"/>
      <c r="BA4" s="35"/>
      <c r="BB4" s="35">
        <f>419.607+891.138</f>
        <v>1310.7450000000001</v>
      </c>
      <c r="BC4" s="35">
        <f>415.708+880.704</f>
        <v>1296.412</v>
      </c>
      <c r="BD4" s="35">
        <v>1609.4449999999999</v>
      </c>
      <c r="BE4" s="35">
        <v>1609.4449999999999</v>
      </c>
      <c r="BF4" s="35"/>
      <c r="BG4" s="35"/>
      <c r="BH4" s="35"/>
      <c r="BI4" s="35"/>
      <c r="BJ4" s="35"/>
      <c r="BK4" s="35"/>
      <c r="BL4" s="35"/>
      <c r="BM4" s="35"/>
      <c r="BN4" s="349"/>
      <c r="BO4" s="349"/>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49"/>
      <c r="EE4" s="349"/>
      <c r="EF4" s="35"/>
      <c r="EG4" s="35"/>
      <c r="EH4" s="349"/>
      <c r="EI4" s="349"/>
      <c r="EJ4" s="349"/>
      <c r="EK4" s="349"/>
      <c r="EL4" s="35"/>
      <c r="EM4" s="35"/>
      <c r="EN4" s="349"/>
      <c r="EO4" s="349"/>
      <c r="EP4" s="349"/>
      <c r="EQ4" s="349"/>
      <c r="ER4" s="35"/>
      <c r="ES4" s="35"/>
      <c r="ET4" s="35"/>
      <c r="EU4" s="35"/>
      <c r="EV4" s="222">
        <f t="shared" si="0"/>
        <v>2920.19</v>
      </c>
      <c r="EW4" s="222">
        <f t="shared" si="1"/>
        <v>2905.857</v>
      </c>
    </row>
    <row r="5" spans="1:155">
      <c r="A5" s="128" t="s">
        <v>381</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71"/>
      <c r="AG5" s="371"/>
      <c r="AH5" s="35"/>
      <c r="AI5" s="35"/>
      <c r="AJ5" s="35"/>
      <c r="AK5" s="35"/>
      <c r="AL5" s="35"/>
      <c r="AM5" s="35"/>
      <c r="AN5" s="35"/>
      <c r="AO5" s="35"/>
      <c r="AP5" s="35"/>
      <c r="AQ5" s="35"/>
      <c r="AR5" s="35"/>
      <c r="AS5" s="35"/>
      <c r="AT5" s="35"/>
      <c r="AU5" s="35"/>
      <c r="AV5" s="35"/>
      <c r="AW5" s="35"/>
      <c r="AX5" s="35"/>
      <c r="AY5" s="35"/>
      <c r="AZ5" s="35"/>
      <c r="BA5" s="35"/>
      <c r="BB5" s="35">
        <f>102.012+131.35+22431.935+94</f>
        <v>22759.297000000002</v>
      </c>
      <c r="BC5" s="35">
        <f>102.012+116.918+20583.562+94</f>
        <v>20896.492000000002</v>
      </c>
      <c r="BD5" s="35">
        <f>485+30530.875</f>
        <v>31015.875</v>
      </c>
      <c r="BE5" s="35">
        <f>485+30326.906</f>
        <v>30811.905999999999</v>
      </c>
      <c r="BF5" s="35"/>
      <c r="BG5" s="35"/>
      <c r="BH5" s="35">
        <v>910</v>
      </c>
      <c r="BI5" s="35">
        <v>910</v>
      </c>
      <c r="BJ5" s="35"/>
      <c r="BK5" s="35"/>
      <c r="BL5" s="35"/>
      <c r="BM5" s="35"/>
      <c r="BN5" s="349"/>
      <c r="BO5" s="349"/>
      <c r="BP5" s="35">
        <v>766</v>
      </c>
      <c r="BQ5" s="35">
        <v>741.08799999999997</v>
      </c>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49"/>
      <c r="EE5" s="349"/>
      <c r="EF5" s="35"/>
      <c r="EG5" s="35"/>
      <c r="EH5" s="349"/>
      <c r="EI5" s="349"/>
      <c r="EJ5" s="349"/>
      <c r="EK5" s="349"/>
      <c r="EL5" s="35"/>
      <c r="EM5" s="35"/>
      <c r="EN5" s="349"/>
      <c r="EO5" s="349"/>
      <c r="EP5" s="349"/>
      <c r="EQ5" s="349"/>
      <c r="ER5" s="35"/>
      <c r="ES5" s="35"/>
      <c r="ET5" s="35"/>
      <c r="EU5" s="35"/>
      <c r="EV5" s="222">
        <f t="shared" si="0"/>
        <v>55451.172000000006</v>
      </c>
      <c r="EW5" s="222">
        <f t="shared" si="1"/>
        <v>53359.486000000004</v>
      </c>
    </row>
    <row r="6" spans="1:155">
      <c r="A6" s="128" t="s">
        <v>445</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71"/>
      <c r="AG6" s="371"/>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49"/>
      <c r="BO6" s="349"/>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49"/>
      <c r="EE6" s="349"/>
      <c r="EF6" s="35"/>
      <c r="EG6" s="35"/>
      <c r="EH6" s="349"/>
      <c r="EI6" s="349"/>
      <c r="EJ6" s="349"/>
      <c r="EK6" s="349"/>
      <c r="EL6" s="35"/>
      <c r="EM6" s="35"/>
      <c r="EN6" s="349"/>
      <c r="EO6" s="349"/>
      <c r="EP6" s="349"/>
      <c r="EQ6" s="349"/>
      <c r="ER6" s="35"/>
      <c r="ES6" s="35"/>
      <c r="ET6" s="35"/>
      <c r="EU6" s="35"/>
      <c r="EV6" s="222">
        <f t="shared" si="0"/>
        <v>0</v>
      </c>
      <c r="EW6" s="222">
        <f t="shared" si="1"/>
        <v>0</v>
      </c>
    </row>
    <row r="7" spans="1:155">
      <c r="A7" s="128" t="s">
        <v>382</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71"/>
      <c r="AG7" s="371"/>
      <c r="AH7" s="35"/>
      <c r="AI7" s="35"/>
      <c r="AJ7" s="35"/>
      <c r="AK7" s="35"/>
      <c r="AL7" s="35"/>
      <c r="AM7" s="35"/>
      <c r="AN7" s="35"/>
      <c r="AO7" s="35"/>
      <c r="AP7" s="35"/>
      <c r="AQ7" s="35"/>
      <c r="AR7" s="35"/>
      <c r="AS7" s="35"/>
      <c r="AT7" s="35"/>
      <c r="AU7" s="35"/>
      <c r="AV7" s="35"/>
      <c r="AW7" s="35"/>
      <c r="AX7" s="35"/>
      <c r="AY7" s="35"/>
      <c r="AZ7" s="35"/>
      <c r="BA7" s="35"/>
      <c r="BB7" s="35">
        <f>41.885+5788.106+20.752+135.585+333.2</f>
        <v>6319.5280000000002</v>
      </c>
      <c r="BC7" s="35">
        <f>41.885+5608.202+20.752+135.585+333.165</f>
        <v>6139.5890000000009</v>
      </c>
      <c r="BD7" s="35">
        <f>158+14020.935+1107.247</f>
        <v>15286.181999999999</v>
      </c>
      <c r="BE7" s="35">
        <f>158+14005.834+1107.067</f>
        <v>15270.901000000002</v>
      </c>
      <c r="BF7" s="35"/>
      <c r="BG7" s="35"/>
      <c r="BH7" s="35"/>
      <c r="BI7" s="35"/>
      <c r="BJ7" s="35"/>
      <c r="BK7" s="35"/>
      <c r="BL7" s="35"/>
      <c r="BM7" s="35"/>
      <c r="BN7" s="349"/>
      <c r="BO7" s="349"/>
      <c r="BP7" s="35">
        <v>314.62799999999999</v>
      </c>
      <c r="BQ7" s="35">
        <v>314.62799999999999</v>
      </c>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49"/>
      <c r="EE7" s="349"/>
      <c r="EF7" s="35"/>
      <c r="EG7" s="35"/>
      <c r="EH7" s="349"/>
      <c r="EI7" s="349"/>
      <c r="EJ7" s="349"/>
      <c r="EK7" s="349"/>
      <c r="EL7" s="35"/>
      <c r="EM7" s="35"/>
      <c r="EN7" s="349"/>
      <c r="EO7" s="349"/>
      <c r="EP7" s="349"/>
      <c r="EQ7" s="349"/>
      <c r="ER7" s="35"/>
      <c r="ES7" s="35"/>
      <c r="ET7" s="35"/>
      <c r="EU7" s="35"/>
      <c r="EV7" s="222">
        <f t="shared" si="0"/>
        <v>21920.338</v>
      </c>
      <c r="EW7" s="222">
        <f t="shared" si="1"/>
        <v>21725.118000000002</v>
      </c>
    </row>
    <row r="8" spans="1:155">
      <c r="A8" s="128" t="s">
        <v>453</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71"/>
      <c r="AG8" s="371"/>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49"/>
      <c r="BO8" s="349"/>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49"/>
      <c r="EE8" s="349"/>
      <c r="EF8" s="35"/>
      <c r="EG8" s="35"/>
      <c r="EH8" s="349"/>
      <c r="EI8" s="349"/>
      <c r="EJ8" s="349"/>
      <c r="EK8" s="349"/>
      <c r="EL8" s="35"/>
      <c r="EM8" s="35"/>
      <c r="EN8" s="349"/>
      <c r="EO8" s="349"/>
      <c r="EP8" s="349"/>
      <c r="EQ8" s="349"/>
      <c r="ER8" s="35"/>
      <c r="ES8" s="35"/>
      <c r="ET8" s="35"/>
      <c r="EU8" s="35"/>
      <c r="EV8" s="222">
        <f t="shared" si="0"/>
        <v>0</v>
      </c>
      <c r="EW8" s="222">
        <f t="shared" si="1"/>
        <v>0</v>
      </c>
    </row>
    <row r="9" spans="1:155">
      <c r="A9" s="128" t="s">
        <v>383</v>
      </c>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71"/>
      <c r="AG9" s="371"/>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49"/>
      <c r="BO9" s="349"/>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49"/>
      <c r="EE9" s="349"/>
      <c r="EF9" s="35"/>
      <c r="EG9" s="35"/>
      <c r="EH9" s="349"/>
      <c r="EI9" s="349"/>
      <c r="EJ9" s="349"/>
      <c r="EK9" s="349"/>
      <c r="EL9" s="35"/>
      <c r="EM9" s="35"/>
      <c r="EN9" s="349"/>
      <c r="EO9" s="349"/>
      <c r="EP9" s="349"/>
      <c r="EQ9" s="349"/>
      <c r="ER9" s="35"/>
      <c r="ES9" s="35"/>
      <c r="ET9" s="35"/>
      <c r="EU9" s="35"/>
      <c r="EV9" s="222">
        <f t="shared" si="0"/>
        <v>0</v>
      </c>
      <c r="EW9" s="222">
        <f t="shared" si="1"/>
        <v>0</v>
      </c>
    </row>
    <row r="10" spans="1:155">
      <c r="A10" s="128" t="s">
        <v>384</v>
      </c>
      <c r="B10" s="35">
        <f>3327.588+330+27.6</f>
        <v>3685.1880000000001</v>
      </c>
      <c r="C10" s="35">
        <f>3309.676+330+27.6</f>
        <v>3667.2759999999998</v>
      </c>
      <c r="D10" s="35"/>
      <c r="E10" s="35"/>
      <c r="F10" s="35"/>
      <c r="G10" s="35"/>
      <c r="H10" s="35"/>
      <c r="I10" s="35"/>
      <c r="J10" s="35"/>
      <c r="K10" s="35"/>
      <c r="L10" s="35"/>
      <c r="M10" s="35"/>
      <c r="N10" s="35"/>
      <c r="O10" s="35"/>
      <c r="P10" s="35"/>
      <c r="Q10" s="35"/>
      <c r="R10" s="35"/>
      <c r="S10" s="35"/>
      <c r="T10" s="35"/>
      <c r="U10" s="35"/>
      <c r="V10" s="35"/>
      <c r="W10" s="35"/>
      <c r="X10" s="35"/>
      <c r="Y10" s="35"/>
      <c r="Z10" s="35"/>
      <c r="AA10" s="35"/>
      <c r="AB10" s="35">
        <f>2757.13-130.337</f>
        <v>2626.7930000000001</v>
      </c>
      <c r="AC10" s="35">
        <f>2748.913-130.337</f>
        <v>2618.576</v>
      </c>
      <c r="AD10" s="35"/>
      <c r="AE10" s="35"/>
      <c r="AF10" s="371"/>
      <c r="AG10" s="371"/>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f>2769+9370.721</f>
        <v>12139.721</v>
      </c>
      <c r="BK10" s="35">
        <f>2702.954+9370.721</f>
        <v>12073.674999999999</v>
      </c>
      <c r="BL10" s="35"/>
      <c r="BM10" s="35"/>
      <c r="BN10" s="349"/>
      <c r="BO10" s="349"/>
      <c r="BP10" s="35">
        <f>29.17+130.337</f>
        <v>159.50700000000001</v>
      </c>
      <c r="BQ10" s="35">
        <f>29.17+130.337</f>
        <v>159.50700000000001</v>
      </c>
      <c r="BR10" s="35"/>
      <c r="BS10" s="35"/>
      <c r="BT10" s="35"/>
      <c r="BU10" s="35"/>
      <c r="BV10" s="35"/>
      <c r="BW10" s="35"/>
      <c r="BX10" s="35">
        <f>1679.535</f>
        <v>1679.5350000000001</v>
      </c>
      <c r="BY10" s="35">
        <v>1673.307</v>
      </c>
      <c r="BZ10" s="35">
        <f>114.94+3.506</f>
        <v>118.446</v>
      </c>
      <c r="CA10" s="35">
        <f>114.94+3</f>
        <v>117.94</v>
      </c>
      <c r="CB10" s="35">
        <f>180.699</f>
        <v>180.69900000000001</v>
      </c>
      <c r="CC10" s="35">
        <f>180.699</f>
        <v>180.69900000000001</v>
      </c>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v>490.27499999999998</v>
      </c>
      <c r="DG10" s="35">
        <v>490.27499999999998</v>
      </c>
      <c r="DH10" s="35"/>
      <c r="DI10" s="35"/>
      <c r="DJ10" s="35"/>
      <c r="DK10" s="35"/>
      <c r="DL10" s="35"/>
      <c r="DM10" s="35"/>
      <c r="DN10" s="35"/>
      <c r="DO10" s="35"/>
      <c r="DP10" s="35"/>
      <c r="DQ10" s="35"/>
      <c r="DR10" s="35"/>
      <c r="DS10" s="35"/>
      <c r="DT10" s="35"/>
      <c r="DU10" s="35"/>
      <c r="DV10" s="35"/>
      <c r="DW10" s="35"/>
      <c r="DX10" s="35"/>
      <c r="DY10" s="35"/>
      <c r="DZ10" s="35"/>
      <c r="EA10" s="35"/>
      <c r="EB10" s="35"/>
      <c r="EC10" s="35"/>
      <c r="ED10" s="349"/>
      <c r="EE10" s="349"/>
      <c r="EF10" s="35"/>
      <c r="EG10" s="35"/>
      <c r="EH10" s="349"/>
      <c r="EI10" s="349"/>
      <c r="EJ10" s="349"/>
      <c r="EK10" s="349"/>
      <c r="EL10" s="35"/>
      <c r="EM10" s="35"/>
      <c r="EN10" s="349"/>
      <c r="EO10" s="349"/>
      <c r="EP10" s="349"/>
      <c r="EQ10" s="349"/>
      <c r="ER10" s="35"/>
      <c r="ES10" s="35"/>
      <c r="ET10" s="35"/>
      <c r="EU10" s="35"/>
      <c r="EV10" s="222">
        <f t="shared" si="0"/>
        <v>21080.164000000001</v>
      </c>
      <c r="EW10" s="222">
        <f t="shared" si="1"/>
        <v>20981.255000000001</v>
      </c>
    </row>
    <row r="11" spans="1:155">
      <c r="A11" s="128" t="s">
        <v>407</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71"/>
      <c r="AG11" s="371"/>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49"/>
      <c r="BO11" s="349"/>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v>1242.5999999999999</v>
      </c>
      <c r="DC11" s="35">
        <v>1242.5999999999999</v>
      </c>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49"/>
      <c r="EE11" s="349"/>
      <c r="EF11" s="35"/>
      <c r="EG11" s="35"/>
      <c r="EH11" s="349"/>
      <c r="EI11" s="349"/>
      <c r="EJ11" s="349"/>
      <c r="EK11" s="349"/>
      <c r="EL11" s="35"/>
      <c r="EM11" s="35"/>
      <c r="EN11" s="349"/>
      <c r="EO11" s="349"/>
      <c r="EP11" s="349"/>
      <c r="EQ11" s="349"/>
      <c r="ER11" s="35"/>
      <c r="ES11" s="35"/>
      <c r="ET11" s="35"/>
      <c r="EU11" s="35"/>
      <c r="EV11" s="222">
        <f t="shared" si="0"/>
        <v>1242.5999999999999</v>
      </c>
      <c r="EW11" s="222">
        <f t="shared" si="1"/>
        <v>1242.5999999999999</v>
      </c>
    </row>
    <row r="12" spans="1:155">
      <c r="A12" s="128" t="s">
        <v>387</v>
      </c>
      <c r="B12" s="35"/>
      <c r="C12" s="35"/>
      <c r="D12" s="35"/>
      <c r="E12" s="35"/>
      <c r="F12" s="35"/>
      <c r="G12" s="35"/>
      <c r="H12" s="35"/>
      <c r="I12" s="35"/>
      <c r="J12" s="35"/>
      <c r="K12" s="35"/>
      <c r="L12" s="35">
        <v>211.04300000000001</v>
      </c>
      <c r="M12" s="35">
        <v>201.643</v>
      </c>
      <c r="N12" s="35"/>
      <c r="O12" s="35"/>
      <c r="P12" s="35"/>
      <c r="Q12" s="35"/>
      <c r="R12" s="35"/>
      <c r="S12" s="35"/>
      <c r="T12" s="35"/>
      <c r="U12" s="35"/>
      <c r="V12" s="35"/>
      <c r="W12" s="35"/>
      <c r="X12" s="35"/>
      <c r="Y12" s="35"/>
      <c r="Z12" s="35"/>
      <c r="AA12" s="35"/>
      <c r="AB12" s="35"/>
      <c r="AC12" s="35"/>
      <c r="AD12" s="35"/>
      <c r="AE12" s="35"/>
      <c r="AF12" s="371"/>
      <c r="AG12" s="371"/>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49"/>
      <c r="BO12" s="349"/>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49"/>
      <c r="EE12" s="349"/>
      <c r="EF12" s="35"/>
      <c r="EG12" s="35"/>
      <c r="EH12" s="349"/>
      <c r="EI12" s="349"/>
      <c r="EJ12" s="349"/>
      <c r="EK12" s="349"/>
      <c r="EL12" s="35"/>
      <c r="EM12" s="35"/>
      <c r="EN12" s="349"/>
      <c r="EO12" s="349"/>
      <c r="EP12" s="349"/>
      <c r="EQ12" s="349"/>
      <c r="ER12" s="35"/>
      <c r="ES12" s="35"/>
      <c r="ET12" s="35"/>
      <c r="EU12" s="35"/>
      <c r="EV12" s="222">
        <f t="shared" si="0"/>
        <v>211.04300000000001</v>
      </c>
      <c r="EW12" s="222">
        <f t="shared" si="1"/>
        <v>201.643</v>
      </c>
    </row>
    <row r="13" spans="1:155">
      <c r="A13" s="128" t="s">
        <v>408</v>
      </c>
      <c r="B13" s="35"/>
      <c r="C13" s="35"/>
      <c r="D13" s="35"/>
      <c r="E13" s="35"/>
      <c r="F13" s="35"/>
      <c r="G13" s="35"/>
      <c r="H13" s="35"/>
      <c r="I13" s="35"/>
      <c r="J13" s="35"/>
      <c r="K13" s="35"/>
      <c r="L13" s="35">
        <v>319.3</v>
      </c>
      <c r="M13" s="35">
        <v>319.3</v>
      </c>
      <c r="N13" s="35"/>
      <c r="O13" s="35"/>
      <c r="P13" s="35"/>
      <c r="Q13" s="35"/>
      <c r="R13" s="35"/>
      <c r="S13" s="35"/>
      <c r="T13" s="35"/>
      <c r="U13" s="35"/>
      <c r="V13" s="35"/>
      <c r="W13" s="35"/>
      <c r="X13" s="35"/>
      <c r="Y13" s="35"/>
      <c r="Z13" s="35"/>
      <c r="AA13" s="35"/>
      <c r="AB13" s="35"/>
      <c r="AC13" s="35"/>
      <c r="AD13" s="35"/>
      <c r="AE13" s="35"/>
      <c r="AF13" s="371"/>
      <c r="AG13" s="371"/>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49"/>
      <c r="BO13" s="349"/>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49"/>
      <c r="EE13" s="349"/>
      <c r="EF13" s="35"/>
      <c r="EG13" s="35"/>
      <c r="EH13" s="349"/>
      <c r="EI13" s="349"/>
      <c r="EJ13" s="349"/>
      <c r="EK13" s="349"/>
      <c r="EL13" s="35"/>
      <c r="EM13" s="35"/>
      <c r="EN13" s="349"/>
      <c r="EO13" s="349"/>
      <c r="EP13" s="349"/>
      <c r="EQ13" s="349"/>
      <c r="ER13" s="35"/>
      <c r="ES13" s="35"/>
      <c r="ET13" s="35"/>
      <c r="EU13" s="35"/>
      <c r="EV13" s="222">
        <f t="shared" si="0"/>
        <v>319.3</v>
      </c>
      <c r="EW13" s="222">
        <f t="shared" si="1"/>
        <v>319.3</v>
      </c>
    </row>
    <row r="14" spans="1:155">
      <c r="A14" s="128" t="s">
        <v>410</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71"/>
      <c r="AG14" s="371"/>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49"/>
      <c r="BO14" s="349"/>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49"/>
      <c r="EE14" s="349"/>
      <c r="EF14" s="35"/>
      <c r="EG14" s="35"/>
      <c r="EH14" s="349"/>
      <c r="EI14" s="349"/>
      <c r="EJ14" s="349"/>
      <c r="EK14" s="349"/>
      <c r="EL14" s="35"/>
      <c r="EM14" s="35"/>
      <c r="EN14" s="349"/>
      <c r="EO14" s="349"/>
      <c r="EP14" s="349"/>
      <c r="EQ14" s="349"/>
      <c r="ER14" s="35"/>
      <c r="ES14" s="35"/>
      <c r="ET14" s="35"/>
      <c r="EU14" s="35"/>
      <c r="EV14" s="222">
        <f t="shared" si="0"/>
        <v>0</v>
      </c>
      <c r="EW14" s="222">
        <f t="shared" si="1"/>
        <v>0</v>
      </c>
    </row>
    <row r="15" spans="1:155">
      <c r="A15" s="128" t="s">
        <v>389</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71"/>
      <c r="AG15" s="371"/>
      <c r="AH15" s="35"/>
      <c r="AI15" s="35"/>
      <c r="AJ15" s="35">
        <v>263.44200000000001</v>
      </c>
      <c r="AK15" s="35">
        <v>216.988</v>
      </c>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49"/>
      <c r="BO15" s="349"/>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f>6670.741+430+404.475+82.844+802.681+21689+4442.325+1743.46</f>
        <v>36265.525999999998</v>
      </c>
      <c r="DU15" s="35">
        <f>6666.711+430+404.475+82.844+802.681+21689+4442.325+1726.62</f>
        <v>36244.656000000003</v>
      </c>
      <c r="DV15" s="35"/>
      <c r="DW15" s="35"/>
      <c r="DX15" s="35"/>
      <c r="DY15" s="35"/>
      <c r="DZ15" s="35"/>
      <c r="EA15" s="35"/>
      <c r="EB15" s="35"/>
      <c r="EC15" s="35"/>
      <c r="ED15" s="349"/>
      <c r="EE15" s="349"/>
      <c r="EF15" s="35"/>
      <c r="EG15" s="35"/>
      <c r="EH15" s="349"/>
      <c r="EI15" s="349"/>
      <c r="EJ15" s="349"/>
      <c r="EK15" s="349"/>
      <c r="EL15" s="35">
        <v>40</v>
      </c>
      <c r="EM15" s="35">
        <v>40</v>
      </c>
      <c r="EN15" s="349">
        <v>63.503999999999998</v>
      </c>
      <c r="EO15" s="349">
        <v>63.503999999999998</v>
      </c>
      <c r="EP15" s="349"/>
      <c r="EQ15" s="349"/>
      <c r="ER15" s="35"/>
      <c r="ES15" s="35"/>
      <c r="ET15" s="35"/>
      <c r="EU15" s="35"/>
      <c r="EV15" s="222">
        <f t="shared" si="0"/>
        <v>36568.968000000001</v>
      </c>
      <c r="EW15" s="222">
        <f t="shared" si="1"/>
        <v>36501.644</v>
      </c>
      <c r="EX15" s="375">
        <f>DT15+EL15+EN15</f>
        <v>36369.03</v>
      </c>
      <c r="EY15" s="375">
        <f>DU15+EM15+EO15</f>
        <v>36348.160000000003</v>
      </c>
    </row>
    <row r="16" spans="1:155">
      <c r="A16" s="128" t="s">
        <v>390</v>
      </c>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71"/>
      <c r="AG16" s="371"/>
      <c r="AH16" s="35">
        <v>827.76700000000005</v>
      </c>
      <c r="AI16" s="35">
        <v>825.83299999999997</v>
      </c>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49"/>
      <c r="BO16" s="349"/>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49"/>
      <c r="EE16" s="349"/>
      <c r="EF16" s="35"/>
      <c r="EG16" s="35"/>
      <c r="EH16" s="349"/>
      <c r="EI16" s="349"/>
      <c r="EJ16" s="349"/>
      <c r="EK16" s="349"/>
      <c r="EL16" s="35"/>
      <c r="EM16" s="35"/>
      <c r="EN16" s="349"/>
      <c r="EO16" s="349"/>
      <c r="EP16" s="349"/>
      <c r="EQ16" s="349"/>
      <c r="ER16" s="35"/>
      <c r="ES16" s="35"/>
      <c r="ET16" s="35"/>
      <c r="EU16" s="35"/>
      <c r="EV16" s="222">
        <f t="shared" si="0"/>
        <v>827.76700000000005</v>
      </c>
      <c r="EW16" s="222">
        <f t="shared" si="1"/>
        <v>825.83299999999997</v>
      </c>
    </row>
    <row r="17" spans="1:155">
      <c r="A17" s="128" t="s">
        <v>391</v>
      </c>
      <c r="B17" s="35"/>
      <c r="C17" s="35"/>
      <c r="D17" s="35"/>
      <c r="E17" s="35"/>
      <c r="F17" s="35"/>
      <c r="G17" s="35"/>
      <c r="H17" s="35">
        <v>2763.0720000000001</v>
      </c>
      <c r="I17" s="35">
        <v>2763.0720000000001</v>
      </c>
      <c r="J17" s="35">
        <v>3205.1729999999998</v>
      </c>
      <c r="K17" s="35">
        <v>3205.1729999999998</v>
      </c>
      <c r="L17" s="35"/>
      <c r="M17" s="35"/>
      <c r="N17" s="35"/>
      <c r="O17" s="35"/>
      <c r="P17" s="35"/>
      <c r="Q17" s="35"/>
      <c r="R17" s="35"/>
      <c r="S17" s="35"/>
      <c r="T17" s="35"/>
      <c r="U17" s="35"/>
      <c r="V17" s="35"/>
      <c r="W17" s="35"/>
      <c r="X17" s="35"/>
      <c r="Y17" s="35"/>
      <c r="Z17" s="35"/>
      <c r="AA17" s="35"/>
      <c r="AB17" s="35"/>
      <c r="AC17" s="35"/>
      <c r="AD17" s="35"/>
      <c r="AE17" s="35"/>
      <c r="AF17" s="371"/>
      <c r="AG17" s="371"/>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49"/>
      <c r="BO17" s="349"/>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v>18666.667000000001</v>
      </c>
      <c r="DO17" s="35">
        <v>18666.667000000001</v>
      </c>
      <c r="DP17" s="35"/>
      <c r="DQ17" s="35"/>
      <c r="DR17" s="35"/>
      <c r="DS17" s="35"/>
      <c r="DT17" s="35"/>
      <c r="DU17" s="35"/>
      <c r="DV17" s="35"/>
      <c r="DW17" s="35"/>
      <c r="DX17" s="35"/>
      <c r="DY17" s="35"/>
      <c r="DZ17" s="35"/>
      <c r="EA17" s="35"/>
      <c r="EB17" s="35"/>
      <c r="EC17" s="35"/>
      <c r="ED17" s="349"/>
      <c r="EE17" s="349"/>
      <c r="EF17" s="35"/>
      <c r="EG17" s="35"/>
      <c r="EH17" s="349"/>
      <c r="EI17" s="349"/>
      <c r="EJ17" s="349"/>
      <c r="EK17" s="349"/>
      <c r="EL17" s="35"/>
      <c r="EM17" s="35"/>
      <c r="EN17" s="349"/>
      <c r="EO17" s="349"/>
      <c r="EP17" s="349"/>
      <c r="EQ17" s="349"/>
      <c r="ER17" s="35"/>
      <c r="ES17" s="35"/>
      <c r="ET17" s="35"/>
      <c r="EU17" s="35"/>
      <c r="EV17" s="222">
        <f t="shared" si="0"/>
        <v>24634.912</v>
      </c>
      <c r="EW17" s="222">
        <f t="shared" si="1"/>
        <v>24634.912</v>
      </c>
    </row>
    <row r="18" spans="1:155">
      <c r="A18" s="128" t="s">
        <v>392</v>
      </c>
      <c r="B18" s="35"/>
      <c r="C18" s="35"/>
      <c r="D18" s="35"/>
      <c r="E18" s="35"/>
      <c r="F18" s="35">
        <v>3284.4290000000001</v>
      </c>
      <c r="G18" s="35">
        <v>2793.1869999999999</v>
      </c>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71"/>
      <c r="AG18" s="371"/>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49"/>
      <c r="BO18" s="349"/>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v>52666.076999999997</v>
      </c>
      <c r="DK18" s="35">
        <v>52665.917000000001</v>
      </c>
      <c r="DL18" s="35"/>
      <c r="DM18" s="35"/>
      <c r="DN18" s="35"/>
      <c r="DO18" s="35"/>
      <c r="DP18" s="35"/>
      <c r="DQ18" s="35"/>
      <c r="DR18" s="35"/>
      <c r="DS18" s="35"/>
      <c r="DT18" s="35"/>
      <c r="DU18" s="35"/>
      <c r="DV18" s="35"/>
      <c r="DW18" s="35"/>
      <c r="DX18" s="35"/>
      <c r="DY18" s="35"/>
      <c r="DZ18" s="35"/>
      <c r="EA18" s="35"/>
      <c r="EB18" s="35"/>
      <c r="EC18" s="35"/>
      <c r="ED18" s="349"/>
      <c r="EE18" s="349"/>
      <c r="EF18" s="35"/>
      <c r="EG18" s="35"/>
      <c r="EH18" s="349"/>
      <c r="EI18" s="349"/>
      <c r="EJ18" s="349"/>
      <c r="EK18" s="349"/>
      <c r="EL18" s="35"/>
      <c r="EM18" s="35"/>
      <c r="EN18" s="349"/>
      <c r="EO18" s="349"/>
      <c r="EP18" s="349"/>
      <c r="EQ18" s="349"/>
      <c r="ER18" s="35"/>
      <c r="ES18" s="35"/>
      <c r="ET18" s="35"/>
      <c r="EU18" s="35"/>
      <c r="EV18" s="222">
        <f t="shared" si="0"/>
        <v>55950.505999999994</v>
      </c>
      <c r="EW18" s="222">
        <f t="shared" si="1"/>
        <v>55459.103999999999</v>
      </c>
    </row>
    <row r="19" spans="1:155">
      <c r="A19" s="128" t="s">
        <v>766</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71"/>
      <c r="AG19" s="371"/>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49"/>
      <c r="BO19" s="349"/>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v>1500</v>
      </c>
      <c r="DU19" s="35">
        <v>1464.84</v>
      </c>
      <c r="DV19" s="35"/>
      <c r="DW19" s="35"/>
      <c r="DX19" s="35"/>
      <c r="DY19" s="35"/>
      <c r="DZ19" s="35"/>
      <c r="EA19" s="35"/>
      <c r="EB19" s="35"/>
      <c r="EC19" s="35"/>
      <c r="ED19" s="349"/>
      <c r="EE19" s="349"/>
      <c r="EF19" s="35"/>
      <c r="EG19" s="35"/>
      <c r="EH19" s="349"/>
      <c r="EI19" s="349"/>
      <c r="EJ19" s="349"/>
      <c r="EK19" s="349"/>
      <c r="EL19" s="35"/>
      <c r="EM19" s="35"/>
      <c r="EN19" s="349"/>
      <c r="EO19" s="349"/>
      <c r="EP19" s="349"/>
      <c r="EQ19" s="349"/>
      <c r="ER19" s="35"/>
      <c r="ES19" s="35"/>
      <c r="ET19" s="35"/>
      <c r="EU19" s="35"/>
      <c r="EV19" s="222">
        <f t="shared" si="0"/>
        <v>1500</v>
      </c>
      <c r="EW19" s="222">
        <f t="shared" si="1"/>
        <v>1464.84</v>
      </c>
    </row>
    <row r="20" spans="1:155">
      <c r="A20" s="128" t="s">
        <v>394</v>
      </c>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71"/>
      <c r="AG20" s="371"/>
      <c r="AH20" s="35"/>
      <c r="AI20" s="35"/>
      <c r="AJ20" s="35"/>
      <c r="AK20" s="35"/>
      <c r="AL20" s="35">
        <f>53.819+929.526+103.281</f>
        <v>1086.626</v>
      </c>
      <c r="AM20" s="35">
        <f>53.819+929.526+103.281</f>
        <v>1086.626</v>
      </c>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49"/>
      <c r="BO20" s="349"/>
      <c r="BP20" s="35"/>
      <c r="BQ20" s="35"/>
      <c r="BR20" s="35"/>
      <c r="BS20" s="35"/>
      <c r="BT20" s="35">
        <f>101.8+196.2+83.475</f>
        <v>381.47500000000002</v>
      </c>
      <c r="BU20" s="35">
        <f>101.8+196.2+83.475</f>
        <v>381.47500000000002</v>
      </c>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49"/>
      <c r="EE20" s="349"/>
      <c r="EF20" s="35"/>
      <c r="EG20" s="35"/>
      <c r="EH20" s="349">
        <f>1800+1800</f>
        <v>3600</v>
      </c>
      <c r="EI20" s="349">
        <v>0</v>
      </c>
      <c r="EJ20" s="349"/>
      <c r="EK20" s="349"/>
      <c r="EL20" s="35"/>
      <c r="EM20" s="35"/>
      <c r="EN20" s="349"/>
      <c r="EO20" s="349"/>
      <c r="EP20" s="349">
        <v>54.9</v>
      </c>
      <c r="EQ20" s="349">
        <v>54.9</v>
      </c>
      <c r="ER20" s="35"/>
      <c r="ES20" s="35"/>
      <c r="ET20" s="35"/>
      <c r="EU20" s="35"/>
      <c r="EV20" s="222">
        <f t="shared" si="0"/>
        <v>1468.1010000000001</v>
      </c>
      <c r="EW20" s="222">
        <f t="shared" si="1"/>
        <v>1468.1010000000001</v>
      </c>
    </row>
    <row r="21" spans="1:155">
      <c r="A21" s="128" t="s">
        <v>409</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71"/>
      <c r="AG21" s="371"/>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49"/>
      <c r="BO21" s="349"/>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v>298.64400000000001</v>
      </c>
      <c r="DM21" s="35">
        <v>298.64400000000001</v>
      </c>
      <c r="DN21" s="35"/>
      <c r="DO21" s="35"/>
      <c r="DP21" s="35"/>
      <c r="DQ21" s="35"/>
      <c r="DR21" s="35"/>
      <c r="DS21" s="35"/>
      <c r="DT21" s="35"/>
      <c r="DU21" s="35"/>
      <c r="DV21" s="35"/>
      <c r="DW21" s="35"/>
      <c r="DX21" s="35"/>
      <c r="DY21" s="35"/>
      <c r="DZ21" s="35"/>
      <c r="EA21" s="35"/>
      <c r="EB21" s="35"/>
      <c r="EC21" s="35"/>
      <c r="ED21" s="349"/>
      <c r="EE21" s="349"/>
      <c r="EF21" s="35"/>
      <c r="EG21" s="35"/>
      <c r="EH21" s="349"/>
      <c r="EI21" s="349"/>
      <c r="EJ21" s="349"/>
      <c r="EK21" s="349"/>
      <c r="EL21" s="35"/>
      <c r="EM21" s="35"/>
      <c r="EN21" s="349"/>
      <c r="EO21" s="349"/>
      <c r="EP21" s="349"/>
      <c r="EQ21" s="349"/>
      <c r="ER21" s="35"/>
      <c r="ES21" s="35"/>
      <c r="ET21" s="35"/>
      <c r="EU21" s="35"/>
      <c r="EV21" s="222">
        <f t="shared" si="0"/>
        <v>298.64400000000001</v>
      </c>
      <c r="EW21" s="222">
        <f t="shared" si="1"/>
        <v>298.64400000000001</v>
      </c>
    </row>
    <row r="22" spans="1:155">
      <c r="A22" s="128" t="s">
        <v>395</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71"/>
      <c r="AG22" s="371"/>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49"/>
      <c r="BO22" s="349"/>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v>114565.374</v>
      </c>
      <c r="DI22" s="35">
        <v>108249.48699999999</v>
      </c>
      <c r="DJ22" s="35"/>
      <c r="DK22" s="35"/>
      <c r="DL22" s="35"/>
      <c r="DM22" s="35"/>
      <c r="DN22" s="35"/>
      <c r="DO22" s="35"/>
      <c r="DP22" s="35"/>
      <c r="DQ22" s="35"/>
      <c r="DR22" s="35"/>
      <c r="DS22" s="35"/>
      <c r="DT22" s="35"/>
      <c r="DU22" s="35"/>
      <c r="DV22" s="35"/>
      <c r="DW22" s="35"/>
      <c r="DX22" s="35"/>
      <c r="DY22" s="35"/>
      <c r="DZ22" s="35"/>
      <c r="EA22" s="35"/>
      <c r="EB22" s="35"/>
      <c r="EC22" s="35"/>
      <c r="ED22" s="349"/>
      <c r="EE22" s="349"/>
      <c r="EF22" s="35"/>
      <c r="EG22" s="35"/>
      <c r="EH22" s="349"/>
      <c r="EI22" s="349"/>
      <c r="EJ22" s="349"/>
      <c r="EK22" s="349"/>
      <c r="EL22" s="35"/>
      <c r="EM22" s="35"/>
      <c r="EN22" s="349"/>
      <c r="EO22" s="349"/>
      <c r="EP22" s="349"/>
      <c r="EQ22" s="349"/>
      <c r="ER22" s="35"/>
      <c r="ES22" s="35"/>
      <c r="ET22" s="35"/>
      <c r="EU22" s="35"/>
      <c r="EV22" s="222">
        <f t="shared" si="0"/>
        <v>114565.374</v>
      </c>
      <c r="EW22" s="222">
        <f t="shared" si="1"/>
        <v>108249.48699999999</v>
      </c>
    </row>
    <row r="23" spans="1:155">
      <c r="A23" s="128" t="s">
        <v>396</v>
      </c>
      <c r="B23" s="35"/>
      <c r="C23" s="35"/>
      <c r="D23" s="35"/>
      <c r="E23" s="35"/>
      <c r="F23" s="35"/>
      <c r="G23" s="35"/>
      <c r="H23" s="35"/>
      <c r="I23" s="35"/>
      <c r="J23" s="35"/>
      <c r="K23" s="35"/>
      <c r="L23" s="35"/>
      <c r="M23" s="35"/>
      <c r="N23" s="35"/>
      <c r="O23" s="35"/>
      <c r="P23" s="35"/>
      <c r="Q23" s="35"/>
      <c r="R23" s="35"/>
      <c r="S23" s="35"/>
      <c r="T23" s="35"/>
      <c r="U23" s="35"/>
      <c r="V23" s="35"/>
      <c r="W23" s="35"/>
      <c r="X23" s="35"/>
      <c r="Y23" s="35"/>
      <c r="Z23" s="35">
        <v>6892.1</v>
      </c>
      <c r="AA23" s="35">
        <v>2733.7</v>
      </c>
      <c r="AB23" s="35"/>
      <c r="AC23" s="35"/>
      <c r="AD23" s="35"/>
      <c r="AE23" s="35"/>
      <c r="AF23" s="371"/>
      <c r="AG23" s="371"/>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49"/>
      <c r="BO23" s="349"/>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49">
        <f>2164.5+500+2164.5</f>
        <v>4829</v>
      </c>
      <c r="EE23" s="349">
        <f>2164.5+500+2102.389</f>
        <v>4766.8890000000001</v>
      </c>
      <c r="EF23" s="35">
        <f>1058.816+155+112.712+4161.058+100+45+672.889+21756.821+365</f>
        <v>28427.296000000002</v>
      </c>
      <c r="EG23" s="35">
        <f>1000.661+155+112.712+4161.058+100+45+672.889+21756.821+365</f>
        <v>28369.141</v>
      </c>
      <c r="EH23" s="349"/>
      <c r="EI23" s="349"/>
      <c r="EJ23" s="349">
        <f>724.228+328.656+194.5</f>
        <v>1247.384</v>
      </c>
      <c r="EK23" s="349">
        <f>724.228+328.656+194.5</f>
        <v>1247.384</v>
      </c>
      <c r="EL23" s="35"/>
      <c r="EM23" s="35"/>
      <c r="EN23" s="349"/>
      <c r="EO23" s="349"/>
      <c r="EP23" s="349"/>
      <c r="EQ23" s="349"/>
      <c r="ER23" s="35"/>
      <c r="ES23" s="35"/>
      <c r="ET23" s="35"/>
      <c r="EU23" s="35"/>
      <c r="EV23" s="222">
        <f t="shared" si="0"/>
        <v>35319.396000000001</v>
      </c>
      <c r="EW23" s="222">
        <f t="shared" si="1"/>
        <v>31102.841</v>
      </c>
      <c r="EX23" s="375">
        <f>ED23+EF23+EJ23</f>
        <v>34503.68</v>
      </c>
      <c r="EY23" s="375">
        <f>EE23+EG23+EK23</f>
        <v>34383.413999999997</v>
      </c>
    </row>
    <row r="24" spans="1:155" hidden="1">
      <c r="A24" s="128" t="s">
        <v>505</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71"/>
      <c r="AG24" s="371"/>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49"/>
      <c r="BO24" s="349"/>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49"/>
      <c r="EE24" s="349"/>
      <c r="EF24" s="35"/>
      <c r="EG24" s="35"/>
      <c r="EH24" s="349"/>
      <c r="EI24" s="349"/>
      <c r="EJ24" s="349"/>
      <c r="EK24" s="349"/>
      <c r="EL24" s="35"/>
      <c r="EM24" s="35"/>
      <c r="EN24" s="349"/>
      <c r="EO24" s="349"/>
      <c r="EP24" s="349"/>
      <c r="EQ24" s="349"/>
      <c r="ER24" s="35"/>
      <c r="ES24" s="35"/>
      <c r="ET24" s="35"/>
      <c r="EU24" s="35"/>
      <c r="EV24" s="222">
        <f t="shared" si="0"/>
        <v>0</v>
      </c>
      <c r="EW24" s="222">
        <f t="shared" si="1"/>
        <v>0</v>
      </c>
    </row>
    <row r="25" spans="1:155">
      <c r="A25" s="128" t="s">
        <v>397</v>
      </c>
      <c r="B25" s="35"/>
      <c r="C25" s="35"/>
      <c r="D25" s="35"/>
      <c r="E25" s="35"/>
      <c r="F25" s="35"/>
      <c r="G25" s="35"/>
      <c r="H25" s="35"/>
      <c r="I25" s="35"/>
      <c r="J25" s="35"/>
      <c r="K25" s="35"/>
      <c r="L25" s="35"/>
      <c r="M25" s="35"/>
      <c r="N25" s="35">
        <f>108037.239-1493.861</f>
        <v>106543.378</v>
      </c>
      <c r="O25" s="35">
        <f>108018.239-1493.861</f>
        <v>106524.378</v>
      </c>
      <c r="P25" s="35"/>
      <c r="Q25" s="35"/>
      <c r="R25" s="35"/>
      <c r="S25" s="35"/>
      <c r="T25" s="35"/>
      <c r="U25" s="35"/>
      <c r="V25" s="35"/>
      <c r="W25" s="35"/>
      <c r="X25" s="35"/>
      <c r="Y25" s="35"/>
      <c r="Z25" s="35"/>
      <c r="AA25" s="35"/>
      <c r="AB25" s="35"/>
      <c r="AC25" s="35"/>
      <c r="AD25" s="35"/>
      <c r="AE25" s="35"/>
      <c r="AF25" s="371"/>
      <c r="AG25" s="371"/>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49"/>
      <c r="BO25" s="349"/>
      <c r="BP25" s="35">
        <v>1493.8610000000001</v>
      </c>
      <c r="BQ25" s="35">
        <v>1493.8610000000001</v>
      </c>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49"/>
      <c r="EE25" s="349"/>
      <c r="EF25" s="35"/>
      <c r="EG25" s="35"/>
      <c r="EH25" s="349"/>
      <c r="EI25" s="349"/>
      <c r="EJ25" s="349"/>
      <c r="EK25" s="349"/>
      <c r="EL25" s="35"/>
      <c r="EM25" s="35"/>
      <c r="EN25" s="349"/>
      <c r="EO25" s="349"/>
      <c r="EP25" s="349"/>
      <c r="EQ25" s="349"/>
      <c r="ER25" s="35"/>
      <c r="ES25" s="35"/>
      <c r="ET25" s="35"/>
      <c r="EU25" s="35"/>
      <c r="EV25" s="222">
        <f t="shared" si="0"/>
        <v>108037.239</v>
      </c>
      <c r="EW25" s="222">
        <f t="shared" si="1"/>
        <v>108018.239</v>
      </c>
    </row>
    <row r="26" spans="1:155">
      <c r="A26" s="128" t="s">
        <v>398</v>
      </c>
      <c r="B26" s="35"/>
      <c r="C26" s="35"/>
      <c r="D26" s="35"/>
      <c r="E26" s="35"/>
      <c r="F26" s="35"/>
      <c r="G26" s="35"/>
      <c r="H26" s="35"/>
      <c r="I26" s="35"/>
      <c r="J26" s="35"/>
      <c r="K26" s="35"/>
      <c r="L26" s="35"/>
      <c r="M26" s="35"/>
      <c r="N26" s="35">
        <v>31064.346000000001</v>
      </c>
      <c r="O26" s="35">
        <v>30980.948</v>
      </c>
      <c r="P26" s="35">
        <f>4119.243+863.7+1123.1+618+1040.4+1457.919+45.0905+1193.3845+36.909+2.625+120.778+472.564+21816.468+6207.928+739.994+85.7+26.297</f>
        <v>39970.099999999991</v>
      </c>
      <c r="Q26" s="35">
        <f>3576.794+863.7+960+443+954.02+1457.919+45.0905+1193.3845+36.909+2.625+120.778+472.564+21813.301+2133.926+739.994+85.7+26.297</f>
        <v>34926.001999999993</v>
      </c>
      <c r="R26" s="35">
        <f>3144.157+283.1+851+45+238+945+1+1646.663+50.9285+989.2125+30.594+43530.122+7289.561+637.318+93.1+79.88+99.999</f>
        <v>59954.635000000002</v>
      </c>
      <c r="S26" s="35">
        <f>2922.949+120+676+45+218+945+1+1646.663+50.9285+989.2125+30.594+43497.622+7289.561+637.318+93.1+79.88+99.999</f>
        <v>59342.827000000005</v>
      </c>
      <c r="T26" s="35"/>
      <c r="U26" s="35"/>
      <c r="V26" s="35"/>
      <c r="W26" s="35"/>
      <c r="X26" s="35"/>
      <c r="Y26" s="35"/>
      <c r="Z26" s="35"/>
      <c r="AA26" s="35"/>
      <c r="AB26" s="35"/>
      <c r="AC26" s="35"/>
      <c r="AD26" s="35"/>
      <c r="AE26" s="35"/>
      <c r="AF26" s="371"/>
      <c r="AG26" s="371"/>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49"/>
      <c r="BO26" s="349"/>
      <c r="BP26" s="35">
        <v>3611.6010000000001</v>
      </c>
      <c r="BQ26" s="35">
        <v>3609.7869999999998</v>
      </c>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49"/>
      <c r="EE26" s="349"/>
      <c r="EF26" s="35"/>
      <c r="EG26" s="35"/>
      <c r="EH26" s="349"/>
      <c r="EI26" s="349"/>
      <c r="EJ26" s="349"/>
      <c r="EK26" s="349"/>
      <c r="EL26" s="35"/>
      <c r="EM26" s="35"/>
      <c r="EN26" s="349"/>
      <c r="EO26" s="349"/>
      <c r="EP26" s="349"/>
      <c r="EQ26" s="349"/>
      <c r="ER26" s="35"/>
      <c r="ES26" s="35"/>
      <c r="ET26" s="35"/>
      <c r="EU26" s="35"/>
      <c r="EV26" s="222">
        <f t="shared" si="0"/>
        <v>134600.682</v>
      </c>
      <c r="EW26" s="222">
        <f t="shared" si="1"/>
        <v>128859.564</v>
      </c>
    </row>
    <row r="27" spans="1:155">
      <c r="A27" s="128" t="s">
        <v>454</v>
      </c>
      <c r="B27" s="35"/>
      <c r="C27" s="35"/>
      <c r="D27" s="35"/>
      <c r="E27" s="35"/>
      <c r="F27" s="35"/>
      <c r="G27" s="35"/>
      <c r="H27" s="35"/>
      <c r="I27" s="35"/>
      <c r="J27" s="35"/>
      <c r="K27" s="35"/>
      <c r="L27" s="35"/>
      <c r="M27" s="35"/>
      <c r="N27" s="35"/>
      <c r="O27" s="35"/>
      <c r="P27" s="35"/>
      <c r="Q27" s="35"/>
      <c r="R27" s="35"/>
      <c r="S27" s="35"/>
      <c r="T27" s="35">
        <f>84069.176-917.83-504.8</f>
        <v>82646.546000000002</v>
      </c>
      <c r="U27" s="35">
        <f>82040.571-909.796-504.8</f>
        <v>80625.974999999991</v>
      </c>
      <c r="V27" s="35"/>
      <c r="W27" s="35"/>
      <c r="X27" s="35">
        <v>504.8</v>
      </c>
      <c r="Y27" s="35">
        <v>504.8</v>
      </c>
      <c r="Z27" s="35"/>
      <c r="AA27" s="35"/>
      <c r="AB27" s="35"/>
      <c r="AC27" s="35"/>
      <c r="AD27" s="35"/>
      <c r="AE27" s="35"/>
      <c r="AF27" s="371"/>
      <c r="AG27" s="371"/>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49"/>
      <c r="BO27" s="349"/>
      <c r="BP27" s="35">
        <v>917.83</v>
      </c>
      <c r="BQ27" s="35">
        <v>909.79600000000005</v>
      </c>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49"/>
      <c r="EE27" s="349"/>
      <c r="EF27" s="35"/>
      <c r="EG27" s="35"/>
      <c r="EH27" s="349"/>
      <c r="EI27" s="349"/>
      <c r="EJ27" s="349"/>
      <c r="EK27" s="349"/>
      <c r="EL27" s="35"/>
      <c r="EM27" s="35"/>
      <c r="EN27" s="349"/>
      <c r="EO27" s="349"/>
      <c r="EP27" s="349"/>
      <c r="EQ27" s="349"/>
      <c r="ER27" s="35"/>
      <c r="ES27" s="35"/>
      <c r="ET27" s="35"/>
      <c r="EU27" s="35"/>
      <c r="EV27" s="222">
        <f t="shared" si="0"/>
        <v>84069.176000000007</v>
      </c>
      <c r="EW27" s="222">
        <f t="shared" si="1"/>
        <v>82040.570999999996</v>
      </c>
    </row>
    <row r="28" spans="1:155" s="350" customFormat="1">
      <c r="A28" s="370" t="s">
        <v>1115</v>
      </c>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71"/>
      <c r="AG28" s="371"/>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349"/>
      <c r="BG28" s="349"/>
      <c r="BH28" s="349"/>
      <c r="BI28" s="349"/>
      <c r="BJ28" s="349"/>
      <c r="BK28" s="349"/>
      <c r="BL28" s="349"/>
      <c r="BM28" s="349"/>
      <c r="BN28" s="349">
        <v>895.06500000000005</v>
      </c>
      <c r="BO28" s="349">
        <v>895.06500000000005</v>
      </c>
      <c r="BP28" s="349"/>
      <c r="BQ28" s="349"/>
      <c r="BR28" s="349"/>
      <c r="BS28" s="349"/>
      <c r="BT28" s="349"/>
      <c r="BU28" s="349"/>
      <c r="BV28" s="349"/>
      <c r="BW28" s="349"/>
      <c r="BX28" s="349"/>
      <c r="BY28" s="349"/>
      <c r="BZ28" s="349"/>
      <c r="CA28" s="349"/>
      <c r="CB28" s="349"/>
      <c r="CC28" s="349"/>
      <c r="CD28" s="349"/>
      <c r="CE28" s="349"/>
      <c r="CF28" s="349"/>
      <c r="CG28" s="349"/>
      <c r="CH28" s="349"/>
      <c r="CI28" s="349"/>
      <c r="CJ28" s="349"/>
      <c r="CK28" s="349"/>
      <c r="CL28" s="349"/>
      <c r="CM28" s="349"/>
      <c r="CN28" s="349"/>
      <c r="CO28" s="349"/>
      <c r="CP28" s="349"/>
      <c r="CQ28" s="349"/>
      <c r="CR28" s="349"/>
      <c r="CS28" s="349"/>
      <c r="CT28" s="349"/>
      <c r="CU28" s="349"/>
      <c r="CV28" s="349"/>
      <c r="CW28" s="349"/>
      <c r="CX28" s="349"/>
      <c r="CY28" s="349"/>
      <c r="CZ28" s="349"/>
      <c r="DA28" s="349"/>
      <c r="DB28" s="349"/>
      <c r="DC28" s="349"/>
      <c r="DD28" s="349"/>
      <c r="DE28" s="349"/>
      <c r="DF28" s="349"/>
      <c r="DG28" s="349"/>
      <c r="DH28" s="349"/>
      <c r="DI28" s="349"/>
      <c r="DJ28" s="349"/>
      <c r="DK28" s="349"/>
      <c r="DL28" s="349"/>
      <c r="DM28" s="349"/>
      <c r="DN28" s="349"/>
      <c r="DO28" s="349"/>
      <c r="DP28" s="349"/>
      <c r="DQ28" s="349"/>
      <c r="DR28" s="349"/>
      <c r="DS28" s="349"/>
      <c r="DT28" s="349"/>
      <c r="DU28" s="349"/>
      <c r="DV28" s="349"/>
      <c r="DW28" s="349"/>
      <c r="DX28" s="349"/>
      <c r="DY28" s="349"/>
      <c r="DZ28" s="349"/>
      <c r="EA28" s="349"/>
      <c r="EB28" s="349"/>
      <c r="EC28" s="349"/>
      <c r="ED28" s="349"/>
      <c r="EE28" s="349"/>
      <c r="EF28" s="349"/>
      <c r="EG28" s="349"/>
      <c r="EH28" s="349"/>
      <c r="EI28" s="349"/>
      <c r="EJ28" s="349"/>
      <c r="EK28" s="349"/>
      <c r="EL28" s="349"/>
      <c r="EM28" s="349"/>
      <c r="EN28" s="349"/>
      <c r="EO28" s="349"/>
      <c r="EP28" s="349"/>
      <c r="EQ28" s="349"/>
      <c r="ER28" s="349"/>
      <c r="ES28" s="349"/>
      <c r="ET28" s="349"/>
      <c r="EU28" s="349"/>
      <c r="EV28" s="222">
        <f t="shared" si="0"/>
        <v>895.06500000000005</v>
      </c>
      <c r="EW28" s="222">
        <f t="shared" si="1"/>
        <v>895.06500000000005</v>
      </c>
      <c r="EX28" s="376"/>
      <c r="EY28" s="376"/>
    </row>
    <row r="29" spans="1:155">
      <c r="A29" s="128" t="s">
        <v>399</v>
      </c>
      <c r="B29" s="35"/>
      <c r="C29" s="35"/>
      <c r="D29" s="35"/>
      <c r="E29" s="35"/>
      <c r="F29" s="35"/>
      <c r="G29" s="35"/>
      <c r="H29" s="35"/>
      <c r="I29" s="35"/>
      <c r="J29" s="35"/>
      <c r="K29" s="35"/>
      <c r="L29" s="35"/>
      <c r="M29" s="35"/>
      <c r="N29" s="35"/>
      <c r="O29" s="35"/>
      <c r="P29" s="35"/>
      <c r="Q29" s="35"/>
      <c r="R29" s="35"/>
      <c r="S29" s="35"/>
      <c r="T29" s="35"/>
      <c r="U29" s="35"/>
      <c r="V29" s="35">
        <f>4729.3+2849.801</f>
        <v>7579.1010000000006</v>
      </c>
      <c r="W29" s="35">
        <f>4729.263+2849.801</f>
        <v>7579.0640000000003</v>
      </c>
      <c r="X29" s="35"/>
      <c r="Y29" s="35"/>
      <c r="Z29" s="35"/>
      <c r="AA29" s="35"/>
      <c r="AB29" s="35"/>
      <c r="AC29" s="35"/>
      <c r="AD29" s="35"/>
      <c r="AE29" s="35"/>
      <c r="AF29" s="371"/>
      <c r="AG29" s="371"/>
      <c r="AH29" s="35"/>
      <c r="AI29" s="35"/>
      <c r="AJ29" s="35"/>
      <c r="AK29" s="35"/>
      <c r="AL29" s="35"/>
      <c r="AM29" s="35"/>
      <c r="AN29" s="35"/>
      <c r="AO29" s="35"/>
      <c r="AP29" s="35"/>
      <c r="AQ29" s="35"/>
      <c r="AR29" s="35">
        <v>300</v>
      </c>
      <c r="AS29" s="35">
        <v>300</v>
      </c>
      <c r="AT29" s="35"/>
      <c r="AU29" s="35"/>
      <c r="AV29" s="35"/>
      <c r="AW29" s="35"/>
      <c r="AX29" s="35"/>
      <c r="AY29" s="35"/>
      <c r="AZ29" s="35"/>
      <c r="BA29" s="35"/>
      <c r="BB29" s="35"/>
      <c r="BC29" s="35"/>
      <c r="BD29" s="35"/>
      <c r="BE29" s="35"/>
      <c r="BF29" s="35"/>
      <c r="BG29" s="35"/>
      <c r="BH29" s="35"/>
      <c r="BI29" s="35"/>
      <c r="BJ29" s="35"/>
      <c r="BK29" s="35"/>
      <c r="BL29" s="35"/>
      <c r="BM29" s="35"/>
      <c r="BN29" s="349"/>
      <c r="BO29" s="349"/>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49"/>
      <c r="EE29" s="349"/>
      <c r="EF29" s="35"/>
      <c r="EG29" s="35"/>
      <c r="EH29" s="349"/>
      <c r="EI29" s="349"/>
      <c r="EJ29" s="349"/>
      <c r="EK29" s="349"/>
      <c r="EL29" s="35"/>
      <c r="EM29" s="35"/>
      <c r="EN29" s="349"/>
      <c r="EO29" s="349"/>
      <c r="EP29" s="349"/>
      <c r="EQ29" s="349"/>
      <c r="ER29" s="35"/>
      <c r="ES29" s="35"/>
      <c r="ET29" s="35"/>
      <c r="EU29" s="35"/>
      <c r="EV29" s="222">
        <f t="shared" si="0"/>
        <v>7879.1010000000006</v>
      </c>
      <c r="EW29" s="222">
        <f t="shared" si="1"/>
        <v>7879.0640000000003</v>
      </c>
    </row>
    <row r="30" spans="1:155">
      <c r="A30" s="128" t="s">
        <v>400</v>
      </c>
      <c r="B30" s="35"/>
      <c r="C30" s="35"/>
      <c r="D30" s="35"/>
      <c r="E30" s="35"/>
      <c r="F30" s="35"/>
      <c r="G30" s="35"/>
      <c r="H30" s="35"/>
      <c r="I30" s="35"/>
      <c r="J30" s="35"/>
      <c r="K30" s="35"/>
      <c r="L30" s="35"/>
      <c r="M30" s="35"/>
      <c r="N30" s="35"/>
      <c r="O30" s="35"/>
      <c r="P30" s="35"/>
      <c r="Q30" s="35"/>
      <c r="R30" s="35"/>
      <c r="S30" s="35"/>
      <c r="T30" s="35"/>
      <c r="U30" s="35"/>
      <c r="V30" s="35"/>
      <c r="W30" s="35"/>
      <c r="X30" s="35">
        <f>7.245+319.4</f>
        <v>326.64499999999998</v>
      </c>
      <c r="Y30" s="35">
        <f>7.245+319.4</f>
        <v>326.64499999999998</v>
      </c>
      <c r="Z30" s="35"/>
      <c r="AA30" s="35"/>
      <c r="AB30" s="35"/>
      <c r="AC30" s="35"/>
      <c r="AD30" s="35"/>
      <c r="AE30" s="35"/>
      <c r="AF30" s="371"/>
      <c r="AG30" s="371"/>
      <c r="AH30" s="35"/>
      <c r="AI30" s="35"/>
      <c r="AJ30" s="35"/>
      <c r="AK30" s="35"/>
      <c r="AL30" s="35"/>
      <c r="AM30" s="35"/>
      <c r="AN30" s="35"/>
      <c r="AO30" s="35"/>
      <c r="AP30" s="35"/>
      <c r="AQ30" s="35"/>
      <c r="AR30" s="35"/>
      <c r="AS30" s="35"/>
      <c r="AT30" s="35"/>
      <c r="AU30" s="35"/>
      <c r="AV30" s="35"/>
      <c r="AW30" s="35"/>
      <c r="AX30" s="35"/>
      <c r="AY30" s="35"/>
      <c r="AZ30" s="35"/>
      <c r="BA30" s="35"/>
      <c r="BB30" s="35">
        <f>39.228+5524.222</f>
        <v>5563.45</v>
      </c>
      <c r="BC30" s="35">
        <f>39.228+5475.042</f>
        <v>5514.27</v>
      </c>
      <c r="BD30" s="35">
        <f>155+12518.167</f>
        <v>12673.166999999999</v>
      </c>
      <c r="BE30" s="35">
        <f>155+12518.167</f>
        <v>12673.166999999999</v>
      </c>
      <c r="BF30" s="35"/>
      <c r="BG30" s="35"/>
      <c r="BH30" s="35"/>
      <c r="BI30" s="35"/>
      <c r="BJ30" s="35"/>
      <c r="BK30" s="35"/>
      <c r="BL30" s="35"/>
      <c r="BM30" s="35"/>
      <c r="BN30" s="349"/>
      <c r="BO30" s="349"/>
      <c r="BP30" s="35">
        <v>150.84200000000001</v>
      </c>
      <c r="BQ30" s="35">
        <v>150.84200000000001</v>
      </c>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49"/>
      <c r="EE30" s="349"/>
      <c r="EF30" s="35"/>
      <c r="EG30" s="35"/>
      <c r="EH30" s="349"/>
      <c r="EI30" s="349"/>
      <c r="EJ30" s="349"/>
      <c r="EK30" s="349"/>
      <c r="EL30" s="35"/>
      <c r="EM30" s="35"/>
      <c r="EN30" s="349"/>
      <c r="EO30" s="349"/>
      <c r="EP30" s="349"/>
      <c r="EQ30" s="349"/>
      <c r="ER30" s="35"/>
      <c r="ES30" s="35"/>
      <c r="ET30" s="35"/>
      <c r="EU30" s="35"/>
      <c r="EV30" s="222">
        <f t="shared" si="0"/>
        <v>18714.103999999999</v>
      </c>
      <c r="EW30" s="222">
        <f t="shared" si="1"/>
        <v>18664.924000000003</v>
      </c>
    </row>
    <row r="31" spans="1:155" s="129" customFormat="1">
      <c r="A31" s="128" t="s">
        <v>401</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v>1381.1</v>
      </c>
      <c r="AC31" s="35">
        <v>1381.1</v>
      </c>
      <c r="AD31" s="35">
        <f>45154.3+1547.9+5023.381+3176.974+4034.5+965.5+5600+531.218+552.39-29.79</f>
        <v>66556.373000000007</v>
      </c>
      <c r="AE31" s="35">
        <f>45154.3+1364.275+5023.381+3176.974+4034.5+965.5+5600+531.218+552.39-29.79</f>
        <v>66372.748000000007</v>
      </c>
      <c r="AF31" s="371">
        <f>828+1530</f>
        <v>2358</v>
      </c>
      <c r="AG31" s="371">
        <f>170+1530</f>
        <v>1700</v>
      </c>
      <c r="AH31" s="35"/>
      <c r="AI31" s="35"/>
      <c r="AJ31" s="35"/>
      <c r="AK31" s="35"/>
      <c r="AL31" s="35"/>
      <c r="AM31" s="35"/>
      <c r="AN31" s="35"/>
      <c r="AO31" s="35"/>
      <c r="AP31" s="35"/>
      <c r="AQ31" s="35"/>
      <c r="AR31" s="35"/>
      <c r="AS31" s="35"/>
      <c r="AT31" s="35">
        <f>29631.3+745.139+511.063+7687.5+275.391+53.447+29.79</f>
        <v>38933.629999999997</v>
      </c>
      <c r="AU31" s="35">
        <f>29631.3+745.139+511.063+7687.5+275.391+53.447+29.79</f>
        <v>38933.629999999997</v>
      </c>
      <c r="AV31" s="35">
        <v>15649.3</v>
      </c>
      <c r="AW31" s="35">
        <v>15649.3</v>
      </c>
      <c r="AX31" s="35">
        <f>5730.575+2104.6+4301.6+7250.9+3553.9+23641.7</f>
        <v>46583.275000000001</v>
      </c>
      <c r="AY31" s="35">
        <f>5730.575+2104.6+4301.6+7250.9+3553.9+23641.7</f>
        <v>46583.275000000001</v>
      </c>
      <c r="AZ31" s="35"/>
      <c r="BA31" s="35"/>
      <c r="BB31" s="35"/>
      <c r="BC31" s="35"/>
      <c r="BD31" s="35"/>
      <c r="BE31" s="35"/>
      <c r="BF31" s="35"/>
      <c r="BG31" s="35"/>
      <c r="BH31" s="35"/>
      <c r="BI31" s="35"/>
      <c r="BJ31" s="35"/>
      <c r="BK31" s="35"/>
      <c r="BL31" s="35"/>
      <c r="BM31" s="35"/>
      <c r="BN31" s="349"/>
      <c r="BO31" s="349"/>
      <c r="BP31" s="35">
        <v>697.79700000000003</v>
      </c>
      <c r="BQ31" s="35">
        <v>697.79700000000003</v>
      </c>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f>480+12000</f>
        <v>12480</v>
      </c>
      <c r="DW31" s="35">
        <f>480</f>
        <v>480</v>
      </c>
      <c r="DX31" s="35">
        <v>2800</v>
      </c>
      <c r="DY31" s="35">
        <v>2800</v>
      </c>
      <c r="DZ31" s="35"/>
      <c r="EA31" s="35"/>
      <c r="EB31" s="35"/>
      <c r="EC31" s="35"/>
      <c r="ED31" s="349"/>
      <c r="EE31" s="349"/>
      <c r="EF31" s="35"/>
      <c r="EG31" s="35"/>
      <c r="EH31" s="349"/>
      <c r="EI31" s="349"/>
      <c r="EJ31" s="349"/>
      <c r="EK31" s="349"/>
      <c r="EL31" s="35"/>
      <c r="EM31" s="35"/>
      <c r="EN31" s="349"/>
      <c r="EO31" s="349"/>
      <c r="EP31" s="349"/>
      <c r="EQ31" s="349"/>
      <c r="ER31" s="35"/>
      <c r="ES31" s="35"/>
      <c r="ET31" s="35"/>
      <c r="EU31" s="35"/>
      <c r="EV31" s="222">
        <f>B31+D31+F31+H31+J31+L31+N31+P31+R31+T31+V31+X31+Z31+AB31+AD31+AF31+AH31+AJ31+AL31+AN31+AP31+AR31+AT31+AV31+AX31+AZ31+BB31+BD31+BF31+BH31+BJ31+BL31+BN31+BP31+BR31+BT31+BV31+BX31+BZ31+CB31+CD31+CF31+CH31+CJ31+CL31+CN31+CP31+CR31+CT31+CV31+CX31+CZ31+DB31+DD31+DF31+DH31+DJ31+DL31+DN31+DP31+DR31+DT31+DZ31+EB31+EF31+EL31+ER31+ET31</f>
        <v>172159.47500000001</v>
      </c>
      <c r="EW31" s="222">
        <f>C31+E31+G31+I31+K31+M31+O31+Q31+S31+U31+W31+Y31+AA31+AC31+AE31+AG31+AI31+AK31+AM31+AO31+AQ31+AS31+AU31+AW31+AY31+BA31+BC31+BE31+BG31+BI31+BK31+BM31+BO31+BQ31+BS31+BU31+BW31+BY31+CA31+CC31+CE31+CG31+CI31+CK31+CM31+CO31+CQ31+CS31+CU31+CW31+CY31+DA31+DC31+DE31+DG31+DI31+DK31+DM31+DO31+DQ31+DS31+DU31+EA31+EC31+EG31+EM31+ES31+EU31</f>
        <v>171317.85</v>
      </c>
      <c r="EX31" s="374"/>
      <c r="EY31" s="374"/>
    </row>
    <row r="32" spans="1:155">
      <c r="A32" s="128" t="s">
        <v>402</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71"/>
      <c r="AG32" s="371"/>
      <c r="AH32" s="35"/>
      <c r="AI32" s="35"/>
      <c r="AJ32" s="35"/>
      <c r="AK32" s="35"/>
      <c r="AL32" s="35"/>
      <c r="AM32" s="35"/>
      <c r="AN32" s="35"/>
      <c r="AO32" s="35"/>
      <c r="AP32" s="35"/>
      <c r="AQ32" s="35"/>
      <c r="AR32" s="35"/>
      <c r="AS32" s="35"/>
      <c r="AT32" s="35"/>
      <c r="AU32" s="35"/>
      <c r="AV32" s="35"/>
      <c r="AW32" s="35"/>
      <c r="AX32" s="35"/>
      <c r="AY32" s="35"/>
      <c r="AZ32" s="35"/>
      <c r="BA32" s="35"/>
      <c r="BB32" s="35">
        <f>23.482+3298.603</f>
        <v>3322.085</v>
      </c>
      <c r="BC32" s="35">
        <f>23.482+3207.36</f>
        <v>3230.8420000000001</v>
      </c>
      <c r="BD32" s="35">
        <f>88+6841.004</f>
        <v>6929.0039999999999</v>
      </c>
      <c r="BE32" s="35">
        <f>88+6841.004</f>
        <v>6929.0039999999999</v>
      </c>
      <c r="BF32" s="35"/>
      <c r="BG32" s="35"/>
      <c r="BH32" s="35"/>
      <c r="BI32" s="35"/>
      <c r="BJ32" s="35"/>
      <c r="BK32" s="35"/>
      <c r="BL32" s="35"/>
      <c r="BM32" s="35"/>
      <c r="BN32" s="349"/>
      <c r="BO32" s="349"/>
      <c r="BP32" s="35">
        <v>185.43299999999999</v>
      </c>
      <c r="BQ32" s="35">
        <v>185.43299999999999</v>
      </c>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49"/>
      <c r="EE32" s="349"/>
      <c r="EF32" s="35"/>
      <c r="EG32" s="35"/>
      <c r="EH32" s="349"/>
      <c r="EI32" s="349"/>
      <c r="EJ32" s="349"/>
      <c r="EK32" s="349"/>
      <c r="EL32" s="35"/>
      <c r="EM32" s="35"/>
      <c r="EN32" s="349"/>
      <c r="EO32" s="349"/>
      <c r="EP32" s="349"/>
      <c r="EQ32" s="349"/>
      <c r="ER32" s="35"/>
      <c r="ES32" s="35"/>
      <c r="ET32" s="35"/>
      <c r="EU32" s="35"/>
      <c r="EV32" s="222">
        <f t="shared" ref="EV32:EV41" si="2">B32+D32+F32+H32+J32+L32+N32+P32+R32+T32+V32+X32+Z32+AB32+AD32+AF32+AH32+AJ32+AL32+AN32+AP32+AR32+AT32+AV32+AX32+AZ32+BB32+BD32+BF32+BH32+BJ32+BL32+BN32+BP32+BR32+BT32+BV32+BX32+BZ32+CB32+CD32+CF32+CH32+CJ32+CL32+CN32+CP32+CR32+CT32+CV32+CX32+CZ32+DB32+DD32+DF32+DH32+DJ32+DL32+DN32+DP32+DR32+DT32+DZ32+EB32+EF32+EL32+ER32+ET32</f>
        <v>10436.522000000001</v>
      </c>
      <c r="EW32" s="222">
        <f t="shared" ref="EW32:EW41" si="3">C32+E32+G32+I32+K32+M32+O32+Q32+S32+U32+W32+Y32+AA32+AC32+AE32+AG32+AI32+AK32+AM32+AO32+AQ32+AS32+AU32+AW32+AY32+BA32+BC32+BE32+BG32+BI32+BK32+BM32+BO32+BQ32+BS32+BU32+BW32+BY32+CA32+CC32+CE32+CG32+CI32+CK32+CM32+CO32+CQ32+CS32+CU32+CW32+CY32+DA32+DC32+DE32+DG32+DI32+DK32+DM32+DO32+DQ32+DS32+DU32+EA32+EC32+EG32+EM32+ES32+EU32</f>
        <v>10345.278999999999</v>
      </c>
    </row>
    <row r="33" spans="1:155">
      <c r="A33" s="128" t="s">
        <v>403</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71"/>
      <c r="AG33" s="371"/>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49"/>
      <c r="BO33" s="349"/>
      <c r="BP33" s="35"/>
      <c r="BQ33" s="35"/>
      <c r="BR33" s="35"/>
      <c r="BS33" s="35"/>
      <c r="BT33" s="35"/>
      <c r="BU33" s="35"/>
      <c r="BV33" s="35">
        <v>5391.8609999999999</v>
      </c>
      <c r="BW33" s="35">
        <v>5391.174</v>
      </c>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49"/>
      <c r="EE33" s="349"/>
      <c r="EF33" s="35"/>
      <c r="EG33" s="35"/>
      <c r="EH33" s="349"/>
      <c r="EI33" s="349"/>
      <c r="EJ33" s="349"/>
      <c r="EK33" s="349"/>
      <c r="EL33" s="35"/>
      <c r="EM33" s="35"/>
      <c r="EN33" s="349"/>
      <c r="EO33" s="349"/>
      <c r="EP33" s="349"/>
      <c r="EQ33" s="349"/>
      <c r="ER33" s="35"/>
      <c r="ES33" s="35"/>
      <c r="ET33" s="35"/>
      <c r="EU33" s="35"/>
      <c r="EV33" s="222">
        <f t="shared" si="2"/>
        <v>5391.8609999999999</v>
      </c>
      <c r="EW33" s="222">
        <f t="shared" si="3"/>
        <v>5391.174</v>
      </c>
    </row>
    <row r="34" spans="1:155">
      <c r="A34" s="128" t="s">
        <v>385</v>
      </c>
      <c r="B34" s="35"/>
      <c r="C34" s="35"/>
      <c r="D34" s="35"/>
      <c r="E34" s="35"/>
      <c r="F34" s="35"/>
      <c r="G34" s="35"/>
      <c r="H34" s="35"/>
      <c r="I34" s="35"/>
      <c r="J34" s="35"/>
      <c r="K34" s="35"/>
      <c r="L34" s="35"/>
      <c r="M34" s="35"/>
      <c r="N34" s="35"/>
      <c r="O34" s="35"/>
      <c r="P34" s="35"/>
      <c r="Q34" s="35"/>
      <c r="R34" s="35">
        <v>0.82699999999999996</v>
      </c>
      <c r="S34" s="35">
        <v>0.82699999999999996</v>
      </c>
      <c r="T34" s="35"/>
      <c r="U34" s="35"/>
      <c r="V34" s="35"/>
      <c r="W34" s="35"/>
      <c r="X34" s="35"/>
      <c r="Y34" s="35"/>
      <c r="Z34" s="35"/>
      <c r="AA34" s="35"/>
      <c r="AB34" s="35"/>
      <c r="AC34" s="35"/>
      <c r="AD34" s="35"/>
      <c r="AE34" s="35"/>
      <c r="AF34" s="371"/>
      <c r="AG34" s="371"/>
      <c r="AH34" s="35"/>
      <c r="AI34" s="35"/>
      <c r="AJ34" s="35"/>
      <c r="AK34" s="35"/>
      <c r="AL34" s="35"/>
      <c r="AM34" s="35"/>
      <c r="AN34" s="35"/>
      <c r="AO34" s="35"/>
      <c r="AP34" s="35"/>
      <c r="AQ34" s="35"/>
      <c r="AR34" s="35"/>
      <c r="AS34" s="35"/>
      <c r="AT34" s="35"/>
      <c r="AU34" s="35"/>
      <c r="AV34" s="35"/>
      <c r="AW34" s="35"/>
      <c r="AX34" s="35"/>
      <c r="AY34" s="35"/>
      <c r="AZ34" s="35"/>
      <c r="BA34" s="35"/>
      <c r="BB34" s="35">
        <v>4.5880000000000001</v>
      </c>
      <c r="BC34" s="35">
        <v>4.5049999999999999</v>
      </c>
      <c r="BD34" s="35"/>
      <c r="BE34" s="35"/>
      <c r="BF34" s="35"/>
      <c r="BG34" s="35"/>
      <c r="BH34" s="35"/>
      <c r="BI34" s="35"/>
      <c r="BJ34" s="35"/>
      <c r="BK34" s="35"/>
      <c r="BL34" s="35"/>
      <c r="BM34" s="35"/>
      <c r="BN34" s="349"/>
      <c r="BO34" s="349"/>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f>7584.188+405.54+1980.002</f>
        <v>9969.73</v>
      </c>
      <c r="DE34" s="35">
        <f>7584.143+405.54+1980.002</f>
        <v>9969.6849999999995</v>
      </c>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49"/>
      <c r="EE34" s="349"/>
      <c r="EF34" s="35"/>
      <c r="EG34" s="35"/>
      <c r="EH34" s="349"/>
      <c r="EI34" s="349"/>
      <c r="EJ34" s="349"/>
      <c r="EK34" s="349"/>
      <c r="EL34" s="35"/>
      <c r="EM34" s="35"/>
      <c r="EN34" s="349"/>
      <c r="EO34" s="349"/>
      <c r="EP34" s="349"/>
      <c r="EQ34" s="349"/>
      <c r="ER34" s="35"/>
      <c r="ES34" s="35"/>
      <c r="ET34" s="35">
        <f>1263.11+842</f>
        <v>2105.1099999999997</v>
      </c>
      <c r="EU34" s="35">
        <f>421+842</f>
        <v>1263</v>
      </c>
      <c r="EV34" s="222">
        <f t="shared" si="2"/>
        <v>12080.255000000001</v>
      </c>
      <c r="EW34" s="222">
        <f t="shared" si="3"/>
        <v>11238.017</v>
      </c>
    </row>
    <row r="35" spans="1:155">
      <c r="A35" s="128" t="s">
        <v>393</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71"/>
      <c r="AG35" s="371"/>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49"/>
      <c r="BO35" s="349"/>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49"/>
      <c r="EE35" s="349"/>
      <c r="EF35" s="35"/>
      <c r="EG35" s="35"/>
      <c r="EH35" s="349"/>
      <c r="EI35" s="349"/>
      <c r="EJ35" s="349"/>
      <c r="EK35" s="349"/>
      <c r="EL35" s="35"/>
      <c r="EM35" s="35"/>
      <c r="EN35" s="349"/>
      <c r="EO35" s="349"/>
      <c r="EP35" s="349"/>
      <c r="EQ35" s="349"/>
      <c r="ER35" s="35"/>
      <c r="ES35" s="35"/>
      <c r="ET35" s="35"/>
      <c r="EU35" s="35"/>
      <c r="EV35" s="222">
        <f t="shared" si="2"/>
        <v>0</v>
      </c>
      <c r="EW35" s="222">
        <f t="shared" si="3"/>
        <v>0</v>
      </c>
    </row>
    <row r="36" spans="1:155">
      <c r="A36" s="128" t="s">
        <v>378</v>
      </c>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71"/>
      <c r="AG36" s="371"/>
      <c r="AH36" s="35"/>
      <c r="AI36" s="35"/>
      <c r="AJ36" s="35"/>
      <c r="AK36" s="35"/>
      <c r="AL36" s="35"/>
      <c r="AM36" s="35"/>
      <c r="AN36" s="35">
        <v>3828.7</v>
      </c>
      <c r="AO36" s="35">
        <v>3828.7</v>
      </c>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49"/>
      <c r="BO36" s="349"/>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v>6063.5</v>
      </c>
      <c r="EA36" s="35">
        <v>6063.5</v>
      </c>
      <c r="EB36" s="35"/>
      <c r="EC36" s="35"/>
      <c r="ED36" s="349"/>
      <c r="EE36" s="349"/>
      <c r="EF36" s="35"/>
      <c r="EG36" s="35"/>
      <c r="EH36" s="349"/>
      <c r="EI36" s="349"/>
      <c r="EJ36" s="349"/>
      <c r="EK36" s="349"/>
      <c r="EL36" s="35"/>
      <c r="EM36" s="35"/>
      <c r="EN36" s="349"/>
      <c r="EO36" s="349"/>
      <c r="EP36" s="349"/>
      <c r="EQ36" s="349"/>
      <c r="ER36" s="35"/>
      <c r="ES36" s="35"/>
      <c r="ET36" s="35"/>
      <c r="EU36" s="35"/>
      <c r="EV36" s="222">
        <f t="shared" si="2"/>
        <v>9892.2000000000007</v>
      </c>
      <c r="EW36" s="222">
        <f t="shared" si="3"/>
        <v>9892.2000000000007</v>
      </c>
    </row>
    <row r="37" spans="1:155">
      <c r="A37" s="128" t="s">
        <v>404</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71"/>
      <c r="AG37" s="371"/>
      <c r="AH37" s="35"/>
      <c r="AI37" s="35"/>
      <c r="AJ37" s="35"/>
      <c r="AK37" s="35"/>
      <c r="AL37" s="35"/>
      <c r="AM37" s="35"/>
      <c r="AN37" s="35"/>
      <c r="AO37" s="35"/>
      <c r="AP37" s="35">
        <v>11407.79</v>
      </c>
      <c r="AQ37" s="35">
        <v>10606.231</v>
      </c>
      <c r="AR37" s="35"/>
      <c r="AS37" s="35"/>
      <c r="AT37" s="35"/>
      <c r="AU37" s="35"/>
      <c r="AV37" s="35"/>
      <c r="AW37" s="35"/>
      <c r="AX37" s="35"/>
      <c r="AY37" s="35"/>
      <c r="AZ37" s="35"/>
      <c r="BA37" s="35"/>
      <c r="BB37" s="35"/>
      <c r="BC37" s="35"/>
      <c r="BD37" s="35"/>
      <c r="BE37" s="35"/>
      <c r="BF37" s="35"/>
      <c r="BG37" s="35"/>
      <c r="BH37" s="35"/>
      <c r="BI37" s="35"/>
      <c r="BJ37" s="35"/>
      <c r="BK37" s="35"/>
      <c r="BL37" s="35"/>
      <c r="BM37" s="35"/>
      <c r="BN37" s="349"/>
      <c r="BO37" s="349"/>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v>1649.26</v>
      </c>
      <c r="EC37" s="35">
        <v>1649.26</v>
      </c>
      <c r="ED37" s="349"/>
      <c r="EE37" s="349"/>
      <c r="EF37" s="35"/>
      <c r="EG37" s="35"/>
      <c r="EH37" s="349"/>
      <c r="EI37" s="349"/>
      <c r="EJ37" s="349"/>
      <c r="EK37" s="349"/>
      <c r="EL37" s="35"/>
      <c r="EM37" s="35"/>
      <c r="EN37" s="349"/>
      <c r="EO37" s="349"/>
      <c r="EP37" s="349"/>
      <c r="EQ37" s="349"/>
      <c r="ER37" s="35"/>
      <c r="ES37" s="35"/>
      <c r="ET37" s="35"/>
      <c r="EU37" s="35"/>
      <c r="EV37" s="222">
        <f t="shared" si="2"/>
        <v>13057.050000000001</v>
      </c>
      <c r="EW37" s="222">
        <f t="shared" si="3"/>
        <v>12255.491</v>
      </c>
    </row>
    <row r="38" spans="1:155" ht="12.75" customHeight="1">
      <c r="A38" s="128" t="s">
        <v>47</v>
      </c>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71"/>
      <c r="AG38" s="371"/>
      <c r="AH38" s="35"/>
      <c r="AI38" s="35"/>
      <c r="AJ38" s="35"/>
      <c r="AK38" s="35"/>
      <c r="AL38" s="35"/>
      <c r="AM38" s="35"/>
      <c r="AN38" s="35">
        <v>402.99</v>
      </c>
      <c r="AO38" s="35">
        <v>402.99</v>
      </c>
      <c r="AP38" s="35">
        <f>219.3+10.965</f>
        <v>230.26500000000001</v>
      </c>
      <c r="AQ38" s="35">
        <f>219.3+10.965</f>
        <v>230.26500000000001</v>
      </c>
      <c r="AR38" s="35"/>
      <c r="AS38" s="35"/>
      <c r="AT38" s="35"/>
      <c r="AU38" s="35"/>
      <c r="AV38" s="35"/>
      <c r="AW38" s="35"/>
      <c r="AX38" s="35"/>
      <c r="AY38" s="35"/>
      <c r="AZ38" s="35"/>
      <c r="BA38" s="35"/>
      <c r="BB38" s="35"/>
      <c r="BC38" s="35"/>
      <c r="BD38" s="35"/>
      <c r="BE38" s="35"/>
      <c r="BF38" s="35"/>
      <c r="BG38" s="35"/>
      <c r="BH38" s="35"/>
      <c r="BI38" s="35"/>
      <c r="BJ38" s="35"/>
      <c r="BK38" s="35"/>
      <c r="BL38" s="35"/>
      <c r="BM38" s="35"/>
      <c r="BN38" s="349"/>
      <c r="BO38" s="349"/>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49"/>
      <c r="EE38" s="349"/>
      <c r="EF38" s="35"/>
      <c r="EG38" s="35"/>
      <c r="EH38" s="349"/>
      <c r="EI38" s="349"/>
      <c r="EJ38" s="349"/>
      <c r="EK38" s="349"/>
      <c r="EL38" s="35"/>
      <c r="EM38" s="35"/>
      <c r="EN38" s="349"/>
      <c r="EO38" s="349"/>
      <c r="EP38" s="349"/>
      <c r="EQ38" s="349"/>
      <c r="ER38" s="35"/>
      <c r="ES38" s="35"/>
      <c r="ET38" s="35"/>
      <c r="EU38" s="35"/>
      <c r="EV38" s="222">
        <f t="shared" si="2"/>
        <v>633.255</v>
      </c>
      <c r="EW38" s="222">
        <f t="shared" si="3"/>
        <v>633.255</v>
      </c>
    </row>
    <row r="39" spans="1:155">
      <c r="A39" s="128" t="s">
        <v>405</v>
      </c>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71"/>
      <c r="AG39" s="371"/>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v>653</v>
      </c>
      <c r="BG39" s="35">
        <v>651.26199999999994</v>
      </c>
      <c r="BH39" s="35"/>
      <c r="BI39" s="35"/>
      <c r="BJ39" s="35"/>
      <c r="BK39" s="35"/>
      <c r="BL39" s="35"/>
      <c r="BM39" s="35"/>
      <c r="BN39" s="349"/>
      <c r="BO39" s="349"/>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49"/>
      <c r="EE39" s="349"/>
      <c r="EF39" s="35"/>
      <c r="EG39" s="35"/>
      <c r="EH39" s="349"/>
      <c r="EI39" s="349"/>
      <c r="EJ39" s="349"/>
      <c r="EK39" s="349"/>
      <c r="EL39" s="35"/>
      <c r="EM39" s="35"/>
      <c r="EN39" s="349"/>
      <c r="EO39" s="349"/>
      <c r="EP39" s="349"/>
      <c r="EQ39" s="349"/>
      <c r="ER39" s="35"/>
      <c r="ES39" s="35"/>
      <c r="ET39" s="35"/>
      <c r="EU39" s="35"/>
      <c r="EV39" s="222">
        <f t="shared" si="2"/>
        <v>653</v>
      </c>
      <c r="EW39" s="222">
        <f t="shared" si="3"/>
        <v>651.26199999999994</v>
      </c>
    </row>
    <row r="40" spans="1:155">
      <c r="A40" s="128" t="s">
        <v>50</v>
      </c>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71"/>
      <c r="AG40" s="371"/>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49"/>
      <c r="BO40" s="349"/>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v>56343.4</v>
      </c>
      <c r="DA40" s="35">
        <v>56343.4</v>
      </c>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49"/>
      <c r="EE40" s="349"/>
      <c r="EF40" s="35"/>
      <c r="EG40" s="35"/>
      <c r="EH40" s="349"/>
      <c r="EI40" s="349"/>
      <c r="EJ40" s="349"/>
      <c r="EK40" s="349"/>
      <c r="EL40" s="35"/>
      <c r="EM40" s="35"/>
      <c r="EN40" s="349"/>
      <c r="EO40" s="349"/>
      <c r="EP40" s="349"/>
      <c r="EQ40" s="349"/>
      <c r="ER40" s="35"/>
      <c r="ES40" s="35"/>
      <c r="ET40" s="35"/>
      <c r="EU40" s="35"/>
      <c r="EV40" s="222">
        <f t="shared" si="2"/>
        <v>56343.4</v>
      </c>
      <c r="EW40" s="222">
        <f t="shared" si="3"/>
        <v>56343.4</v>
      </c>
    </row>
    <row r="41" spans="1:155">
      <c r="A41" s="128" t="s">
        <v>51</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71"/>
      <c r="AG41" s="371"/>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49"/>
      <c r="BO41" s="349"/>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49"/>
      <c r="EE41" s="349"/>
      <c r="EF41" s="35"/>
      <c r="EG41" s="35"/>
      <c r="EH41" s="349"/>
      <c r="EI41" s="349"/>
      <c r="EJ41" s="349"/>
      <c r="EK41" s="349"/>
      <c r="EL41" s="35"/>
      <c r="EM41" s="35"/>
      <c r="EN41" s="349"/>
      <c r="EO41" s="349"/>
      <c r="EP41" s="349"/>
      <c r="EQ41" s="349"/>
      <c r="ER41" s="35">
        <v>57848</v>
      </c>
      <c r="ES41" s="35">
        <v>57848</v>
      </c>
      <c r="ET41" s="35"/>
      <c r="EU41" s="35"/>
      <c r="EV41" s="222">
        <f t="shared" si="2"/>
        <v>57848</v>
      </c>
      <c r="EW41" s="222">
        <f t="shared" si="3"/>
        <v>57848</v>
      </c>
    </row>
    <row r="42" spans="1:155" s="129" customFormat="1">
      <c r="A42" s="128" t="s">
        <v>406</v>
      </c>
      <c r="B42" s="35">
        <f>SUM(B3:B41)</f>
        <v>3685.1880000000001</v>
      </c>
      <c r="C42" s="35">
        <f t="shared" ref="C42:BL42" si="4">SUM(C3:C41)</f>
        <v>3667.2759999999998</v>
      </c>
      <c r="D42" s="35">
        <f t="shared" si="4"/>
        <v>0</v>
      </c>
      <c r="E42" s="35">
        <f t="shared" si="4"/>
        <v>0</v>
      </c>
      <c r="F42" s="35">
        <f t="shared" si="4"/>
        <v>3284.4290000000001</v>
      </c>
      <c r="G42" s="35">
        <f t="shared" si="4"/>
        <v>2793.1869999999999</v>
      </c>
      <c r="H42" s="35">
        <f t="shared" si="4"/>
        <v>2763.0720000000001</v>
      </c>
      <c r="I42" s="35">
        <f t="shared" si="4"/>
        <v>2763.0720000000001</v>
      </c>
      <c r="J42" s="35">
        <f t="shared" si="4"/>
        <v>3205.1729999999998</v>
      </c>
      <c r="K42" s="35">
        <f t="shared" si="4"/>
        <v>3205.1729999999998</v>
      </c>
      <c r="L42" s="35">
        <f t="shared" si="4"/>
        <v>530.34300000000007</v>
      </c>
      <c r="M42" s="35">
        <f t="shared" si="4"/>
        <v>520.94299999999998</v>
      </c>
      <c r="N42" s="35">
        <f t="shared" si="4"/>
        <v>137607.72399999999</v>
      </c>
      <c r="O42" s="35">
        <f t="shared" si="4"/>
        <v>137505.326</v>
      </c>
      <c r="P42" s="35">
        <f t="shared" si="4"/>
        <v>39970.099999999991</v>
      </c>
      <c r="Q42" s="35">
        <f t="shared" si="4"/>
        <v>34926.001999999993</v>
      </c>
      <c r="R42" s="35">
        <f t="shared" si="4"/>
        <v>59955.462</v>
      </c>
      <c r="S42" s="35">
        <f t="shared" si="4"/>
        <v>59343.654000000002</v>
      </c>
      <c r="T42" s="35">
        <f t="shared" si="4"/>
        <v>82646.546000000002</v>
      </c>
      <c r="U42" s="35">
        <f t="shared" si="4"/>
        <v>80625.974999999991</v>
      </c>
      <c r="V42" s="35">
        <f t="shared" si="4"/>
        <v>7579.1010000000006</v>
      </c>
      <c r="W42" s="35">
        <f t="shared" si="4"/>
        <v>7579.0640000000003</v>
      </c>
      <c r="X42" s="35">
        <f t="shared" si="4"/>
        <v>831.44499999999994</v>
      </c>
      <c r="Y42" s="35">
        <f t="shared" si="4"/>
        <v>831.44499999999994</v>
      </c>
      <c r="Z42" s="35">
        <f t="shared" si="4"/>
        <v>6892.1</v>
      </c>
      <c r="AA42" s="35">
        <f t="shared" si="4"/>
        <v>2733.7</v>
      </c>
      <c r="AB42" s="35">
        <f t="shared" si="4"/>
        <v>4007.893</v>
      </c>
      <c r="AC42" s="35">
        <f t="shared" si="4"/>
        <v>3999.6759999999999</v>
      </c>
      <c r="AD42" s="35">
        <f t="shared" si="4"/>
        <v>66556.373000000007</v>
      </c>
      <c r="AE42" s="35">
        <f t="shared" si="4"/>
        <v>66372.748000000007</v>
      </c>
      <c r="AF42" s="35">
        <f t="shared" si="4"/>
        <v>2358</v>
      </c>
      <c r="AG42" s="35">
        <f t="shared" si="4"/>
        <v>1700</v>
      </c>
      <c r="AH42" s="35">
        <f t="shared" si="4"/>
        <v>827.76700000000005</v>
      </c>
      <c r="AI42" s="35">
        <f t="shared" si="4"/>
        <v>825.83299999999997</v>
      </c>
      <c r="AJ42" s="35">
        <f t="shared" si="4"/>
        <v>263.44200000000001</v>
      </c>
      <c r="AK42" s="35">
        <f t="shared" si="4"/>
        <v>216.988</v>
      </c>
      <c r="AL42" s="35">
        <f t="shared" si="4"/>
        <v>1086.626</v>
      </c>
      <c r="AM42" s="35">
        <f t="shared" si="4"/>
        <v>1086.626</v>
      </c>
      <c r="AN42" s="35">
        <f t="shared" si="4"/>
        <v>4231.6899999999996</v>
      </c>
      <c r="AO42" s="35">
        <f t="shared" si="4"/>
        <v>4231.6899999999996</v>
      </c>
      <c r="AP42" s="35">
        <f t="shared" si="4"/>
        <v>11638.055</v>
      </c>
      <c r="AQ42" s="35">
        <f t="shared" si="4"/>
        <v>10836.495999999999</v>
      </c>
      <c r="AR42" s="35">
        <f t="shared" si="4"/>
        <v>300</v>
      </c>
      <c r="AS42" s="35">
        <f t="shared" si="4"/>
        <v>300</v>
      </c>
      <c r="AT42" s="35">
        <f t="shared" si="4"/>
        <v>38933.629999999997</v>
      </c>
      <c r="AU42" s="35">
        <f t="shared" si="4"/>
        <v>38933.629999999997</v>
      </c>
      <c r="AV42" s="35">
        <f t="shared" si="4"/>
        <v>15649.3</v>
      </c>
      <c r="AW42" s="35">
        <f t="shared" si="4"/>
        <v>15649.3</v>
      </c>
      <c r="AX42" s="35">
        <f t="shared" si="4"/>
        <v>46583.275000000001</v>
      </c>
      <c r="AY42" s="35">
        <f t="shared" si="4"/>
        <v>46583.275000000001</v>
      </c>
      <c r="AZ42" s="35">
        <f t="shared" si="4"/>
        <v>0</v>
      </c>
      <c r="BA42" s="35">
        <f t="shared" si="4"/>
        <v>0</v>
      </c>
      <c r="BB42" s="35">
        <f t="shared" si="4"/>
        <v>39909.687000000005</v>
      </c>
      <c r="BC42" s="35">
        <f t="shared" si="4"/>
        <v>37614.721999999994</v>
      </c>
      <c r="BD42" s="35">
        <f t="shared" si="4"/>
        <v>69932.971999999994</v>
      </c>
      <c r="BE42" s="35">
        <f t="shared" si="4"/>
        <v>69713.676000000007</v>
      </c>
      <c r="BF42" s="35">
        <f t="shared" si="4"/>
        <v>653</v>
      </c>
      <c r="BG42" s="35">
        <f t="shared" si="4"/>
        <v>651.26199999999994</v>
      </c>
      <c r="BH42" s="35">
        <f t="shared" si="4"/>
        <v>910</v>
      </c>
      <c r="BI42" s="35">
        <f t="shared" si="4"/>
        <v>910</v>
      </c>
      <c r="BJ42" s="35">
        <f t="shared" si="4"/>
        <v>12139.721</v>
      </c>
      <c r="BK42" s="35">
        <f t="shared" si="4"/>
        <v>12073.674999999999</v>
      </c>
      <c r="BL42" s="35">
        <f t="shared" si="4"/>
        <v>0</v>
      </c>
      <c r="BM42" s="35">
        <f t="shared" ref="BM42:EF42" si="5">SUM(BM3:BM41)</f>
        <v>0</v>
      </c>
      <c r="BN42" s="349">
        <f>SUM(BN3:BN41)</f>
        <v>895.06500000000005</v>
      </c>
      <c r="BO42" s="349">
        <f>SUM(BO3:BO41)</f>
        <v>895.06500000000005</v>
      </c>
      <c r="BP42" s="35">
        <f t="shared" si="5"/>
        <v>8297.4989999999998</v>
      </c>
      <c r="BQ42" s="35">
        <f t="shared" si="5"/>
        <v>8262.7389999999978</v>
      </c>
      <c r="BR42" s="35">
        <f t="shared" si="5"/>
        <v>0</v>
      </c>
      <c r="BS42" s="35">
        <f t="shared" si="5"/>
        <v>0</v>
      </c>
      <c r="BT42" s="35">
        <f t="shared" si="5"/>
        <v>381.47500000000002</v>
      </c>
      <c r="BU42" s="35">
        <f t="shared" si="5"/>
        <v>381.47500000000002</v>
      </c>
      <c r="BV42" s="35">
        <f t="shared" si="5"/>
        <v>5391.8609999999999</v>
      </c>
      <c r="BW42" s="35">
        <f t="shared" si="5"/>
        <v>5391.174</v>
      </c>
      <c r="BX42" s="35">
        <f t="shared" si="5"/>
        <v>1679.5350000000001</v>
      </c>
      <c r="BY42" s="35">
        <f t="shared" si="5"/>
        <v>1673.307</v>
      </c>
      <c r="BZ42" s="35">
        <f t="shared" si="5"/>
        <v>118.446</v>
      </c>
      <c r="CA42" s="35">
        <f t="shared" si="5"/>
        <v>117.94</v>
      </c>
      <c r="CB42" s="35">
        <f t="shared" si="5"/>
        <v>180.69900000000001</v>
      </c>
      <c r="CC42" s="35">
        <f t="shared" si="5"/>
        <v>180.69900000000001</v>
      </c>
      <c r="CD42" s="35">
        <f t="shared" si="5"/>
        <v>0</v>
      </c>
      <c r="CE42" s="35">
        <f t="shared" si="5"/>
        <v>0</v>
      </c>
      <c r="CF42" s="35">
        <f t="shared" si="5"/>
        <v>0</v>
      </c>
      <c r="CG42" s="35">
        <f t="shared" si="5"/>
        <v>0</v>
      </c>
      <c r="CH42" s="35">
        <f t="shared" si="5"/>
        <v>0</v>
      </c>
      <c r="CI42" s="35">
        <f t="shared" si="5"/>
        <v>0</v>
      </c>
      <c r="CJ42" s="35">
        <f t="shared" si="5"/>
        <v>0</v>
      </c>
      <c r="CK42" s="35">
        <f t="shared" si="5"/>
        <v>0</v>
      </c>
      <c r="CL42" s="35">
        <f t="shared" si="5"/>
        <v>0</v>
      </c>
      <c r="CM42" s="35">
        <f t="shared" si="5"/>
        <v>0</v>
      </c>
      <c r="CN42" s="35">
        <f t="shared" si="5"/>
        <v>0</v>
      </c>
      <c r="CO42" s="35">
        <f t="shared" si="5"/>
        <v>0</v>
      </c>
      <c r="CP42" s="35">
        <f t="shared" si="5"/>
        <v>0</v>
      </c>
      <c r="CQ42" s="35">
        <f t="shared" si="5"/>
        <v>0</v>
      </c>
      <c r="CR42" s="35">
        <f t="shared" si="5"/>
        <v>0</v>
      </c>
      <c r="CS42" s="35">
        <f t="shared" si="5"/>
        <v>0</v>
      </c>
      <c r="CT42" s="35">
        <f t="shared" si="5"/>
        <v>0</v>
      </c>
      <c r="CU42" s="35">
        <f t="shared" si="5"/>
        <v>0</v>
      </c>
      <c r="CV42" s="35">
        <f t="shared" si="5"/>
        <v>0</v>
      </c>
      <c r="CW42" s="35">
        <f t="shared" si="5"/>
        <v>0</v>
      </c>
      <c r="CX42" s="35">
        <f t="shared" si="5"/>
        <v>0</v>
      </c>
      <c r="CY42" s="35">
        <f t="shared" si="5"/>
        <v>0</v>
      </c>
      <c r="CZ42" s="35">
        <f t="shared" si="5"/>
        <v>56343.4</v>
      </c>
      <c r="DA42" s="35">
        <f t="shared" si="5"/>
        <v>56343.4</v>
      </c>
      <c r="DB42" s="35">
        <f t="shared" si="5"/>
        <v>1242.5999999999999</v>
      </c>
      <c r="DC42" s="35">
        <f t="shared" si="5"/>
        <v>1242.5999999999999</v>
      </c>
      <c r="DD42" s="35">
        <f t="shared" si="5"/>
        <v>9969.73</v>
      </c>
      <c r="DE42" s="35">
        <f t="shared" si="5"/>
        <v>9969.6849999999995</v>
      </c>
      <c r="DF42" s="35">
        <f t="shared" si="5"/>
        <v>490.27499999999998</v>
      </c>
      <c r="DG42" s="35">
        <f t="shared" si="5"/>
        <v>490.27499999999998</v>
      </c>
      <c r="DH42" s="35">
        <f t="shared" si="5"/>
        <v>114565.374</v>
      </c>
      <c r="DI42" s="35">
        <f t="shared" si="5"/>
        <v>108249.48699999999</v>
      </c>
      <c r="DJ42" s="35">
        <f t="shared" si="5"/>
        <v>52666.076999999997</v>
      </c>
      <c r="DK42" s="35">
        <f t="shared" si="5"/>
        <v>52665.917000000001</v>
      </c>
      <c r="DL42" s="35">
        <f t="shared" si="5"/>
        <v>298.64400000000001</v>
      </c>
      <c r="DM42" s="35">
        <f t="shared" si="5"/>
        <v>298.64400000000001</v>
      </c>
      <c r="DN42" s="35">
        <f t="shared" si="5"/>
        <v>18666.667000000001</v>
      </c>
      <c r="DO42" s="35">
        <f t="shared" si="5"/>
        <v>18666.667000000001</v>
      </c>
      <c r="DP42" s="35">
        <f t="shared" si="5"/>
        <v>0</v>
      </c>
      <c r="DQ42" s="35">
        <f t="shared" si="5"/>
        <v>0</v>
      </c>
      <c r="DR42" s="35">
        <f t="shared" si="5"/>
        <v>0</v>
      </c>
      <c r="DS42" s="35">
        <f t="shared" si="5"/>
        <v>0</v>
      </c>
      <c r="DT42" s="35">
        <f t="shared" si="5"/>
        <v>37765.525999999998</v>
      </c>
      <c r="DU42" s="35">
        <f t="shared" si="5"/>
        <v>37709.495999999999</v>
      </c>
      <c r="DV42" s="35">
        <f t="shared" si="5"/>
        <v>12480</v>
      </c>
      <c r="DW42" s="35">
        <f t="shared" si="5"/>
        <v>480</v>
      </c>
      <c r="DX42" s="35">
        <f t="shared" si="5"/>
        <v>2800</v>
      </c>
      <c r="DY42" s="35">
        <f t="shared" si="5"/>
        <v>2800</v>
      </c>
      <c r="DZ42" s="35">
        <f t="shared" si="5"/>
        <v>6063.5</v>
      </c>
      <c r="EA42" s="35">
        <f t="shared" si="5"/>
        <v>6063.5</v>
      </c>
      <c r="EB42" s="35">
        <f t="shared" si="5"/>
        <v>1649.26</v>
      </c>
      <c r="EC42" s="35">
        <f t="shared" si="5"/>
        <v>1649.26</v>
      </c>
      <c r="ED42" s="35">
        <f t="shared" si="5"/>
        <v>4829</v>
      </c>
      <c r="EE42" s="35">
        <f t="shared" si="5"/>
        <v>4766.8890000000001</v>
      </c>
      <c r="EF42" s="35">
        <f t="shared" si="5"/>
        <v>28427.296000000002</v>
      </c>
      <c r="EG42" s="35">
        <f t="shared" ref="EG42:EU42" si="6">SUM(EG3:EG41)</f>
        <v>28369.141</v>
      </c>
      <c r="EH42" s="35">
        <f t="shared" si="6"/>
        <v>3600</v>
      </c>
      <c r="EI42" s="35">
        <f t="shared" si="6"/>
        <v>0</v>
      </c>
      <c r="EJ42" s="35">
        <f t="shared" si="6"/>
        <v>1247.384</v>
      </c>
      <c r="EK42" s="35">
        <f t="shared" si="6"/>
        <v>1247.384</v>
      </c>
      <c r="EL42" s="35">
        <f t="shared" si="6"/>
        <v>40</v>
      </c>
      <c r="EM42" s="35">
        <f t="shared" si="6"/>
        <v>40</v>
      </c>
      <c r="EN42" s="35">
        <f t="shared" si="6"/>
        <v>63.503999999999998</v>
      </c>
      <c r="EO42" s="35">
        <f t="shared" si="6"/>
        <v>63.503999999999998</v>
      </c>
      <c r="EP42" s="35">
        <f t="shared" si="6"/>
        <v>54.9</v>
      </c>
      <c r="EQ42" s="35">
        <f t="shared" si="6"/>
        <v>54.9</v>
      </c>
      <c r="ER42" s="35">
        <f t="shared" si="6"/>
        <v>57848</v>
      </c>
      <c r="ES42" s="35">
        <f t="shared" si="6"/>
        <v>57848</v>
      </c>
      <c r="ET42" s="35">
        <f t="shared" si="6"/>
        <v>2105.1099999999997</v>
      </c>
      <c r="EU42" s="35">
        <f t="shared" si="6"/>
        <v>1263</v>
      </c>
      <c r="EV42" s="222">
        <f t="shared" ref="EV42:EW42" si="7">SUM(EV3:EV41)</f>
        <v>1070018.1529999999</v>
      </c>
      <c r="EW42" s="222">
        <f t="shared" si="7"/>
        <v>1045965.8849999999</v>
      </c>
      <c r="EX42" s="374"/>
      <c r="EY42" s="374"/>
    </row>
    <row r="43" spans="1:155">
      <c r="AR43" s="132"/>
      <c r="AS43" s="132"/>
      <c r="AT43" s="132">
        <f>B42+D42+F42+H42+J42+L42+N42+P42+R42+T42+V42+X42+Z42+AB42+AD42+AF42+AH42+AJ42+AL42+AN42+AP42+AR42+AT42</f>
        <v>479154.15899999999</v>
      </c>
      <c r="AU43" s="132">
        <f>C42+E42+G42+I42+K42+M42+O42+Q42+S42+U42+W42+Y42+AA42+AC42+AE42+AG42+AI42+AK42+AM42+AO42+AQ42+AS42+AU42</f>
        <v>464998.50400000002</v>
      </c>
      <c r="AW43" s="133"/>
      <c r="AX43" s="133"/>
      <c r="AY43" s="133"/>
      <c r="AZ43" s="133">
        <f>AV42+AX42+AZ42</f>
        <v>62232.574999999997</v>
      </c>
      <c r="BA43" s="133">
        <f>AW42+AY42+BA42</f>
        <v>62232.574999999997</v>
      </c>
      <c r="BB43" s="133"/>
      <c r="BC43" s="133"/>
      <c r="BD43" s="133"/>
      <c r="BE43" s="133"/>
      <c r="BF43" s="133"/>
      <c r="BG43" s="133"/>
      <c r="BH43" s="133"/>
      <c r="BI43" s="133"/>
      <c r="BJ43" s="133"/>
      <c r="BK43" s="133"/>
      <c r="BL43" s="133"/>
      <c r="BM43" s="133"/>
      <c r="BN43" s="369"/>
      <c r="BO43" s="369"/>
      <c r="BP43" s="133"/>
      <c r="BQ43" s="133"/>
      <c r="BR43" s="133">
        <f>BB42+BD42+BF42+BH42+BJ42+BN42+BL42+BP42+BR42</f>
        <v>132737.94400000002</v>
      </c>
      <c r="BS43" s="133">
        <f>BC42+BE42+BG42+BI42+BK42+BM42+BO42+BQ42+BS42</f>
        <v>130121.13900000001</v>
      </c>
      <c r="BT43" s="133">
        <f>BT42</f>
        <v>381.47500000000002</v>
      </c>
      <c r="BU43" s="133">
        <f>BU42</f>
        <v>381.47500000000002</v>
      </c>
      <c r="BV43" s="134"/>
      <c r="BW43" s="134"/>
      <c r="BX43" s="134"/>
      <c r="BY43" s="134"/>
      <c r="BZ43" s="134"/>
      <c r="CA43" s="134"/>
      <c r="CB43" s="133">
        <f>BV42+BX42+BZ42+CB42</f>
        <v>7370.5409999999993</v>
      </c>
      <c r="CC43" s="133">
        <f>BW42+BY42+CA42+CC42</f>
        <v>7363.119999999999</v>
      </c>
      <c r="CH43" s="133">
        <f>CD42+CF42+CH42</f>
        <v>0</v>
      </c>
      <c r="CI43" s="133">
        <f>CE42+CG42+CI42</f>
        <v>0</v>
      </c>
      <c r="CX43" s="133">
        <f>CJ42+CL42+CN42+CP42+CR42+CT42+CV42+CX42</f>
        <v>0</v>
      </c>
      <c r="CY43" s="133">
        <f>CK42+CM42+CO42+CQ42+CS42+CU42+CW42+CY42</f>
        <v>0</v>
      </c>
      <c r="DD43" s="133">
        <f>CZ42+DB42+DD42</f>
        <v>67555.73</v>
      </c>
      <c r="DE43" s="133">
        <f>DA42+DC42+DE42</f>
        <v>67555.684999999998</v>
      </c>
      <c r="ET43" s="377">
        <f>CZ42+DB42+DD42+DF42+DH42+DJ42+DL42+DN42+DT42+DV42+DX42+DZ42+EB42+ED42+EF42+EH42+EJ42+EL42+EN42+EP42+ER42+ET42</f>
        <v>413216.24700000009</v>
      </c>
      <c r="EU43" s="377">
        <f>DA42+DC42+DE42+DG42+DI42+DK42+DM42+DO42+DU42+DW42+DY42+EA42+EC42+EE42+EG42+EI42+EK42+EM42+EO42+EQ42+ES42+EU42</f>
        <v>390281.74900000007</v>
      </c>
    </row>
    <row r="44" spans="1:155">
      <c r="ET44" s="375">
        <f>DF42+DH42+DJ42+DL42+DN42+DT42+DV42+DX42+DZ42+EB42+ED42+EF42+EH42+EJ42+EL42+EN42+EP42+ER42+ET42</f>
        <v>345660.51700000011</v>
      </c>
      <c r="EU44" s="375">
        <f>DG42+DI42+DK42+DM42+DO42+DU42+DW42+DY42+EA42+EC42+EE42+EG42+EI42+EK42+EM42+EO42+EQ42+ES42+EU42</f>
        <v>322726.06400000001</v>
      </c>
    </row>
  </sheetData>
  <mergeCells count="76">
    <mergeCell ref="EV2:EW2"/>
    <mergeCell ref="EF2:EG2"/>
    <mergeCell ref="DD2:DE2"/>
    <mergeCell ref="ET2:EU2"/>
    <mergeCell ref="DZ2:EA2"/>
    <mergeCell ref="EB2:EC2"/>
    <mergeCell ref="DL2:DM2"/>
    <mergeCell ref="DH2:DI2"/>
    <mergeCell ref="EN2:EO2"/>
    <mergeCell ref="EH2:EI2"/>
    <mergeCell ref="EP2:EQ2"/>
    <mergeCell ref="ED2:EE2"/>
    <mergeCell ref="EJ2:EK2"/>
    <mergeCell ref="DV2:DW2"/>
    <mergeCell ref="DX2:DY2"/>
    <mergeCell ref="CZ2:DA2"/>
    <mergeCell ref="ER2:ES2"/>
    <mergeCell ref="DF2:DG2"/>
    <mergeCell ref="DP2:DQ2"/>
    <mergeCell ref="DB2:DC2"/>
    <mergeCell ref="DR2:DS2"/>
    <mergeCell ref="EL2:EM2"/>
    <mergeCell ref="DN2:DO2"/>
    <mergeCell ref="DJ2:DK2"/>
    <mergeCell ref="DT2:DU2"/>
    <mergeCell ref="CN2:CO2"/>
    <mergeCell ref="CT2:CU2"/>
    <mergeCell ref="CH2:CI2"/>
    <mergeCell ref="CP2:CQ2"/>
    <mergeCell ref="CX2:CY2"/>
    <mergeCell ref="CV2:CW2"/>
    <mergeCell ref="CR2:CS2"/>
    <mergeCell ref="CL2:CM2"/>
    <mergeCell ref="CF2:CG2"/>
    <mergeCell ref="BP2:BQ2"/>
    <mergeCell ref="AZ2:BA2"/>
    <mergeCell ref="BL2:BM2"/>
    <mergeCell ref="CJ2:CK2"/>
    <mergeCell ref="CD2:CE2"/>
    <mergeCell ref="BF2:BG2"/>
    <mergeCell ref="CB2:CC2"/>
    <mergeCell ref="BV2:BW2"/>
    <mergeCell ref="BN2:BO2"/>
    <mergeCell ref="BZ2:CA2"/>
    <mergeCell ref="BH2:BI2"/>
    <mergeCell ref="BR2:BS2"/>
    <mergeCell ref="BD2:BE2"/>
    <mergeCell ref="D2:E2"/>
    <mergeCell ref="N2:O2"/>
    <mergeCell ref="P2:Q2"/>
    <mergeCell ref="R2:S2"/>
    <mergeCell ref="BB2:BC2"/>
    <mergeCell ref="L2:M2"/>
    <mergeCell ref="F2:G2"/>
    <mergeCell ref="H2:I2"/>
    <mergeCell ref="J2:K2"/>
    <mergeCell ref="AH2:AI2"/>
    <mergeCell ref="AJ2:AK2"/>
    <mergeCell ref="AN2:AO2"/>
    <mergeCell ref="AP2:AQ2"/>
    <mergeCell ref="B2:C2"/>
    <mergeCell ref="AB2:AC2"/>
    <mergeCell ref="BJ2:BK2"/>
    <mergeCell ref="BX2:BY2"/>
    <mergeCell ref="AF2:AG2"/>
    <mergeCell ref="AL2:AM2"/>
    <mergeCell ref="BT2:BU2"/>
    <mergeCell ref="Z2:AA2"/>
    <mergeCell ref="T2:U2"/>
    <mergeCell ref="V2:W2"/>
    <mergeCell ref="AR2:AS2"/>
    <mergeCell ref="X2:Y2"/>
    <mergeCell ref="AD2:AE2"/>
    <mergeCell ref="AT2:AU2"/>
    <mergeCell ref="AV2:AW2"/>
    <mergeCell ref="AX2:AY2"/>
  </mergeCells>
  <pageMargins left="0.31496062992125984" right="0" top="1.1417322834645669" bottom="0.19685039370078741"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dimension ref="A2:CG43"/>
  <sheetViews>
    <sheetView zoomScaleNormal="100" zoomScaleSheetLayoutView="100" workbookViewId="0">
      <pane xSplit="1" ySplit="2" topLeftCell="AG9" activePane="bottomRight" state="frozen"/>
      <selection pane="topRight" activeCell="B1" sqref="B1"/>
      <selection pane="bottomLeft" activeCell="A3" sqref="A3"/>
      <selection pane="bottomRight" activeCell="CF27" sqref="CF27"/>
    </sheetView>
  </sheetViews>
  <sheetFormatPr defaultRowHeight="12.75"/>
  <cols>
    <col min="1" max="1" width="6" style="130" customWidth="1"/>
    <col min="2" max="2" width="7.42578125" style="131" customWidth="1"/>
    <col min="3" max="3" width="8.5703125" style="131" customWidth="1"/>
    <col min="4" max="4" width="7.7109375" style="131" customWidth="1"/>
    <col min="5" max="5" width="8.28515625" style="131" customWidth="1"/>
    <col min="6" max="6" width="7.42578125" style="131" customWidth="1"/>
    <col min="7" max="7" width="6.140625" style="131" customWidth="1"/>
    <col min="8" max="8" width="9.140625" style="131" customWidth="1"/>
    <col min="9" max="9" width="9.28515625" style="131" customWidth="1"/>
    <col min="10" max="10" width="8.42578125" style="131" customWidth="1"/>
    <col min="11" max="11" width="8.28515625" style="131" customWidth="1"/>
    <col min="12" max="12" width="7.42578125" style="131" customWidth="1"/>
    <col min="13" max="13" width="6.28515625" style="131" customWidth="1"/>
    <col min="14" max="14" width="9.140625" style="131" customWidth="1"/>
    <col min="15" max="15" width="7.42578125" style="131" hidden="1" customWidth="1"/>
    <col min="16" max="16" width="7.42578125" style="131" customWidth="1"/>
    <col min="17" max="17" width="9.28515625" style="435" customWidth="1"/>
    <col min="18" max="18" width="8.42578125" style="131" customWidth="1"/>
    <col min="19" max="19" width="6.42578125" style="131" customWidth="1"/>
    <col min="20" max="20" width="7.85546875" style="131" customWidth="1"/>
    <col min="21" max="21" width="6" style="131" customWidth="1"/>
    <col min="22" max="22" width="6.7109375" style="131" customWidth="1"/>
    <col min="23" max="24" width="8.42578125" style="131" customWidth="1"/>
    <col min="25" max="25" width="6" style="131" customWidth="1"/>
    <col min="26" max="26" width="8.28515625" style="131" customWidth="1"/>
    <col min="27" max="27" width="8.28515625" style="435" customWidth="1"/>
    <col min="28" max="28" width="8.7109375" style="131" customWidth="1"/>
    <col min="29" max="29" width="8.28515625" style="36" customWidth="1"/>
    <col min="30" max="30" width="8.42578125" style="36" customWidth="1"/>
    <col min="31" max="31" width="7.85546875" style="36" bestFit="1" customWidth="1"/>
    <col min="32" max="33" width="8.140625" style="36" customWidth="1"/>
    <col min="34" max="34" width="6.28515625" style="36" customWidth="1"/>
    <col min="35" max="35" width="6" style="36" customWidth="1"/>
    <col min="36" max="36" width="8.28515625" style="36" customWidth="1"/>
    <col min="37" max="39" width="7.28515625" style="36" customWidth="1"/>
    <col min="40" max="40" width="7.7109375" style="36" customWidth="1"/>
    <col min="41" max="41" width="7.7109375" style="350" customWidth="1"/>
    <col min="42" max="42" width="6" style="36" customWidth="1"/>
    <col min="43" max="43" width="7.7109375" style="36" customWidth="1"/>
    <col min="44" max="44" width="7.85546875" style="36" customWidth="1"/>
    <col min="45" max="45" width="6" style="36" customWidth="1"/>
    <col min="46" max="46" width="7" style="36" bestFit="1" customWidth="1"/>
    <col min="47" max="47" width="5.28515625" style="36" hidden="1" customWidth="1"/>
    <col min="48" max="48" width="7.140625" style="36" hidden="1" customWidth="1"/>
    <col min="49" max="49" width="6.140625" style="36" hidden="1" customWidth="1"/>
    <col min="50" max="50" width="7.5703125" style="36" hidden="1" customWidth="1"/>
    <col min="51" max="51" width="4.42578125" style="36" hidden="1" customWidth="1"/>
    <col min="52" max="52" width="7.42578125" style="36" hidden="1" customWidth="1"/>
    <col min="53" max="53" width="8.28515625" style="36" hidden="1" customWidth="1"/>
    <col min="54" max="55" width="7.42578125" style="36" hidden="1" customWidth="1"/>
    <col min="56" max="56" width="6" style="36" hidden="1" customWidth="1"/>
    <col min="57" max="57" width="8.140625" style="36" hidden="1" customWidth="1"/>
    <col min="58" max="58" width="7.7109375" style="36" hidden="1" customWidth="1"/>
    <col min="59" max="59" width="8.5703125" style="36" hidden="1" customWidth="1"/>
    <col min="60" max="60" width="9.5703125" style="36" hidden="1" customWidth="1"/>
    <col min="61" max="61" width="8.5703125" style="36" hidden="1" customWidth="1"/>
    <col min="62" max="62" width="7.140625" style="36" hidden="1" customWidth="1"/>
    <col min="63" max="63" width="7.42578125" style="36" hidden="1" customWidth="1"/>
    <col min="64" max="64" width="7.85546875" style="36" hidden="1" customWidth="1"/>
    <col min="65" max="65" width="6.28515625" style="36" hidden="1" customWidth="1"/>
    <col min="66" max="66" width="8.5703125" style="36" customWidth="1"/>
    <col min="67" max="67" width="8.140625" style="36" customWidth="1"/>
    <col min="68" max="68" width="6.140625" style="36" customWidth="1"/>
    <col min="69" max="69" width="8.5703125" style="36" customWidth="1"/>
    <col min="70" max="70" width="4" style="36" hidden="1" customWidth="1"/>
    <col min="71" max="71" width="4.42578125" style="36" hidden="1" customWidth="1"/>
    <col min="72" max="72" width="8.42578125" style="36" customWidth="1"/>
    <col min="73" max="73" width="9.140625" style="36" hidden="1" customWidth="1"/>
    <col min="74" max="74" width="7.42578125" style="36" hidden="1" customWidth="1"/>
    <col min="75" max="75" width="6.140625" style="36" hidden="1" customWidth="1"/>
    <col min="76" max="76" width="8.85546875" style="36" customWidth="1"/>
    <col min="77" max="77" width="8.42578125" style="36" customWidth="1"/>
    <col min="78" max="79" width="7.42578125" style="36" hidden="1" customWidth="1"/>
    <col min="80" max="80" width="4.42578125" style="36" hidden="1" customWidth="1"/>
    <col min="81" max="81" width="8.42578125" style="36" customWidth="1"/>
    <col min="82" max="82" width="8.42578125" style="36" hidden="1" customWidth="1"/>
    <col min="83" max="83" width="7.5703125" style="36" hidden="1" customWidth="1"/>
    <col min="84" max="84" width="10.5703125" style="36" customWidth="1"/>
    <col min="85" max="85" width="10.140625" style="36" bestFit="1" customWidth="1"/>
    <col min="86" max="16384" width="9.140625" style="36"/>
  </cols>
  <sheetData>
    <row r="2" spans="1:84" s="127" customFormat="1">
      <c r="A2" s="126"/>
      <c r="B2" s="393" t="s">
        <v>34</v>
      </c>
      <c r="C2" s="393" t="s">
        <v>393</v>
      </c>
      <c r="D2" s="393" t="s">
        <v>39</v>
      </c>
      <c r="E2" s="393" t="s">
        <v>602</v>
      </c>
      <c r="F2" s="393" t="s">
        <v>388</v>
      </c>
      <c r="G2" s="393" t="s">
        <v>42</v>
      </c>
      <c r="H2" s="393" t="s">
        <v>746</v>
      </c>
      <c r="I2" s="393" t="s">
        <v>386</v>
      </c>
      <c r="J2" s="393" t="s">
        <v>568</v>
      </c>
      <c r="K2" s="393" t="s">
        <v>612</v>
      </c>
      <c r="L2" s="393" t="s">
        <v>574</v>
      </c>
      <c r="M2" s="393" t="s">
        <v>44</v>
      </c>
      <c r="N2" s="393" t="s">
        <v>575</v>
      </c>
      <c r="O2" s="393" t="s">
        <v>854</v>
      </c>
      <c r="P2" s="393" t="s">
        <v>739</v>
      </c>
      <c r="Q2" s="423" t="s">
        <v>1409</v>
      </c>
      <c r="R2" s="393" t="s">
        <v>567</v>
      </c>
      <c r="S2" s="393" t="s">
        <v>1040</v>
      </c>
      <c r="T2" s="393" t="s">
        <v>744</v>
      </c>
      <c r="U2" s="393" t="s">
        <v>745</v>
      </c>
      <c r="V2" s="393" t="s">
        <v>623</v>
      </c>
      <c r="W2" s="393" t="s">
        <v>627</v>
      </c>
      <c r="X2" s="393" t="s">
        <v>749</v>
      </c>
      <c r="Y2" s="393" t="s">
        <v>45</v>
      </c>
      <c r="Z2" s="393" t="s">
        <v>747</v>
      </c>
      <c r="AA2" s="423" t="s">
        <v>1416</v>
      </c>
      <c r="AB2" s="393" t="s">
        <v>1204</v>
      </c>
      <c r="AC2" s="393" t="s">
        <v>48</v>
      </c>
      <c r="AD2" s="393" t="s">
        <v>748</v>
      </c>
      <c r="AE2" s="393" t="s">
        <v>736</v>
      </c>
      <c r="AF2" s="393" t="s">
        <v>564</v>
      </c>
      <c r="AG2" s="393" t="s">
        <v>569</v>
      </c>
      <c r="AH2" s="393" t="s">
        <v>773</v>
      </c>
      <c r="AI2" s="393" t="s">
        <v>565</v>
      </c>
      <c r="AJ2" s="393" t="s">
        <v>740</v>
      </c>
      <c r="AK2" s="393" t="s">
        <v>737</v>
      </c>
      <c r="AL2" s="393" t="s">
        <v>1116</v>
      </c>
      <c r="AM2" s="393" t="s">
        <v>735</v>
      </c>
      <c r="AN2" s="393" t="s">
        <v>738</v>
      </c>
      <c r="AO2" s="423" t="s">
        <v>1415</v>
      </c>
      <c r="AP2" s="393" t="s">
        <v>566</v>
      </c>
      <c r="AQ2" s="393" t="s">
        <v>52</v>
      </c>
      <c r="AR2" s="393" t="s">
        <v>741</v>
      </c>
      <c r="AS2" s="393" t="s">
        <v>742</v>
      </c>
      <c r="AT2" s="393" t="s">
        <v>743</v>
      </c>
      <c r="AU2" s="393" t="s">
        <v>751</v>
      </c>
      <c r="AV2" s="393" t="s">
        <v>759</v>
      </c>
      <c r="AW2" s="393" t="s">
        <v>1205</v>
      </c>
      <c r="AX2" s="393" t="s">
        <v>754</v>
      </c>
      <c r="AY2" s="393" t="s">
        <v>857</v>
      </c>
      <c r="AZ2" s="393" t="s">
        <v>576</v>
      </c>
      <c r="BA2" s="393" t="s">
        <v>750</v>
      </c>
      <c r="BB2" s="393" t="s">
        <v>752</v>
      </c>
      <c r="BC2" s="393" t="s">
        <v>755</v>
      </c>
      <c r="BD2" s="393" t="s">
        <v>910</v>
      </c>
      <c r="BE2" s="393" t="s">
        <v>758</v>
      </c>
      <c r="BF2" s="393" t="s">
        <v>753</v>
      </c>
      <c r="BG2" s="393" t="s">
        <v>909</v>
      </c>
      <c r="BH2" s="393" t="s">
        <v>756</v>
      </c>
      <c r="BI2" s="393" t="s">
        <v>772</v>
      </c>
      <c r="BJ2" s="393" t="s">
        <v>855</v>
      </c>
      <c r="BK2" s="393" t="s">
        <v>761</v>
      </c>
      <c r="BL2" s="393" t="s">
        <v>769</v>
      </c>
      <c r="BM2" s="393" t="s">
        <v>760</v>
      </c>
      <c r="BN2" s="393" t="s">
        <v>767</v>
      </c>
      <c r="BO2" s="393" t="s">
        <v>764</v>
      </c>
      <c r="BP2" s="393" t="s">
        <v>676</v>
      </c>
      <c r="BQ2" s="393" t="s">
        <v>677</v>
      </c>
      <c r="BR2" s="393" t="s">
        <v>680</v>
      </c>
      <c r="BS2" s="393" t="s">
        <v>762</v>
      </c>
      <c r="BT2" s="393" t="s">
        <v>765</v>
      </c>
      <c r="BU2" s="393" t="s">
        <v>911</v>
      </c>
      <c r="BV2" s="393" t="s">
        <v>771</v>
      </c>
      <c r="BW2" s="393" t="s">
        <v>687</v>
      </c>
      <c r="BX2" s="393" t="s">
        <v>1119</v>
      </c>
      <c r="BY2" s="393" t="s">
        <v>768</v>
      </c>
      <c r="BZ2" s="393" t="s">
        <v>856</v>
      </c>
      <c r="CA2" s="393" t="s">
        <v>949</v>
      </c>
      <c r="CB2" s="393" t="s">
        <v>763</v>
      </c>
      <c r="CC2" s="393" t="s">
        <v>1117</v>
      </c>
      <c r="CD2" s="393" t="s">
        <v>702</v>
      </c>
      <c r="CE2" s="393" t="s">
        <v>770</v>
      </c>
      <c r="CF2" s="392" t="s">
        <v>406</v>
      </c>
    </row>
    <row r="3" spans="1:84">
      <c r="A3" s="128" t="s">
        <v>379</v>
      </c>
      <c r="B3" s="35"/>
      <c r="C3" s="35"/>
      <c r="D3" s="35"/>
      <c r="E3" s="35"/>
      <c r="F3" s="35"/>
      <c r="G3" s="35"/>
      <c r="H3" s="35"/>
      <c r="I3" s="35"/>
      <c r="J3" s="35"/>
      <c r="K3" s="35"/>
      <c r="L3" s="35"/>
      <c r="M3" s="35"/>
      <c r="N3" s="35"/>
      <c r="O3" s="35"/>
      <c r="P3" s="35"/>
      <c r="Q3" s="349"/>
      <c r="R3" s="35"/>
      <c r="S3" s="35"/>
      <c r="T3" s="35"/>
      <c r="U3" s="35"/>
      <c r="V3" s="35"/>
      <c r="W3" s="35"/>
      <c r="X3" s="35"/>
      <c r="Y3" s="35"/>
      <c r="Z3" s="35"/>
      <c r="AA3" s="349"/>
      <c r="AB3" s="35"/>
      <c r="AC3" s="35"/>
      <c r="AD3" s="35"/>
      <c r="AE3" s="35"/>
      <c r="AF3" s="35">
        <v>571.79999999999995</v>
      </c>
      <c r="AG3" s="35">
        <v>1900.3</v>
      </c>
      <c r="AH3" s="35"/>
      <c r="AI3" s="35"/>
      <c r="AJ3" s="35"/>
      <c r="AK3" s="35"/>
      <c r="AL3" s="35"/>
      <c r="AM3" s="35"/>
      <c r="AN3" s="35"/>
      <c r="AO3" s="349"/>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436">
        <f>SUM(B3:CE3)</f>
        <v>2472.1</v>
      </c>
    </row>
    <row r="4" spans="1:84">
      <c r="A4" s="128" t="s">
        <v>380</v>
      </c>
      <c r="B4" s="35"/>
      <c r="C4" s="35"/>
      <c r="D4" s="35"/>
      <c r="E4" s="35"/>
      <c r="F4" s="35"/>
      <c r="G4" s="35"/>
      <c r="H4" s="35"/>
      <c r="I4" s="35"/>
      <c r="J4" s="35"/>
      <c r="K4" s="35"/>
      <c r="L4" s="35"/>
      <c r="M4" s="35"/>
      <c r="N4" s="35"/>
      <c r="O4" s="35"/>
      <c r="P4" s="35"/>
      <c r="Q4" s="349"/>
      <c r="R4" s="35"/>
      <c r="S4" s="35"/>
      <c r="T4" s="35"/>
      <c r="U4" s="35"/>
      <c r="V4" s="35"/>
      <c r="W4" s="35"/>
      <c r="X4" s="35"/>
      <c r="Y4" s="35"/>
      <c r="Z4" s="35"/>
      <c r="AA4" s="349"/>
      <c r="AB4" s="35"/>
      <c r="AC4" s="35"/>
      <c r="AD4" s="35"/>
      <c r="AE4" s="35"/>
      <c r="AF4" s="35">
        <f>628.5+450.655</f>
        <v>1079.155</v>
      </c>
      <c r="AG4" s="35">
        <v>1453.2449999999999</v>
      </c>
      <c r="AH4" s="35"/>
      <c r="AI4" s="35"/>
      <c r="AJ4" s="35"/>
      <c r="AK4" s="35"/>
      <c r="AL4" s="35"/>
      <c r="AM4" s="35">
        <v>50</v>
      </c>
      <c r="AN4" s="35"/>
      <c r="AO4" s="349"/>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436">
        <f t="shared" ref="CF4:CF41" si="0">SUM(B4:CE4)</f>
        <v>2582.3999999999996</v>
      </c>
    </row>
    <row r="5" spans="1:84">
      <c r="A5" s="128" t="s">
        <v>381</v>
      </c>
      <c r="B5" s="35"/>
      <c r="C5" s="35"/>
      <c r="D5" s="35"/>
      <c r="E5" s="35"/>
      <c r="F5" s="35"/>
      <c r="G5" s="35"/>
      <c r="H5" s="35"/>
      <c r="I5" s="35"/>
      <c r="J5" s="35"/>
      <c r="K5" s="35"/>
      <c r="L5" s="35"/>
      <c r="M5" s="35"/>
      <c r="N5" s="35"/>
      <c r="O5" s="35"/>
      <c r="P5" s="35"/>
      <c r="Q5" s="349"/>
      <c r="R5" s="35"/>
      <c r="S5" s="35"/>
      <c r="T5" s="35"/>
      <c r="U5" s="35"/>
      <c r="V5" s="35"/>
      <c r="W5" s="35"/>
      <c r="X5" s="35"/>
      <c r="Y5" s="35"/>
      <c r="Z5" s="35"/>
      <c r="AA5" s="349"/>
      <c r="AB5" s="35"/>
      <c r="AC5" s="35"/>
      <c r="AD5" s="35"/>
      <c r="AE5" s="35"/>
      <c r="AF5" s="35">
        <f>90+23097.739+286.6</f>
        <v>23474.339</v>
      </c>
      <c r="AG5" s="35">
        <v>29183.35</v>
      </c>
      <c r="AH5" s="35"/>
      <c r="AI5" s="35">
        <v>910</v>
      </c>
      <c r="AJ5" s="35"/>
      <c r="AK5" s="35"/>
      <c r="AL5" s="35"/>
      <c r="AM5" s="35">
        <v>966</v>
      </c>
      <c r="AN5" s="35"/>
      <c r="AO5" s="349"/>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436">
        <f t="shared" si="0"/>
        <v>54533.688999999998</v>
      </c>
    </row>
    <row r="6" spans="1:84">
      <c r="A6" s="128" t="s">
        <v>445</v>
      </c>
      <c r="B6" s="35"/>
      <c r="C6" s="35"/>
      <c r="D6" s="35"/>
      <c r="E6" s="35"/>
      <c r="F6" s="35"/>
      <c r="G6" s="35"/>
      <c r="H6" s="35"/>
      <c r="I6" s="35"/>
      <c r="J6" s="35"/>
      <c r="K6" s="35"/>
      <c r="L6" s="35"/>
      <c r="M6" s="35"/>
      <c r="N6" s="35"/>
      <c r="O6" s="35"/>
      <c r="P6" s="35"/>
      <c r="Q6" s="349"/>
      <c r="R6" s="35"/>
      <c r="S6" s="35"/>
      <c r="T6" s="35"/>
      <c r="U6" s="35"/>
      <c r="V6" s="35"/>
      <c r="W6" s="35"/>
      <c r="X6" s="35"/>
      <c r="Y6" s="35"/>
      <c r="Z6" s="35"/>
      <c r="AA6" s="349"/>
      <c r="AB6" s="35"/>
      <c r="AC6" s="35"/>
      <c r="AD6" s="35"/>
      <c r="AE6" s="35"/>
      <c r="AF6" s="35"/>
      <c r="AG6" s="35"/>
      <c r="AH6" s="35"/>
      <c r="AI6" s="35"/>
      <c r="AJ6" s="35"/>
      <c r="AK6" s="35"/>
      <c r="AL6" s="35"/>
      <c r="AM6" s="35"/>
      <c r="AN6" s="35"/>
      <c r="AO6" s="349"/>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222">
        <f t="shared" si="0"/>
        <v>0</v>
      </c>
    </row>
    <row r="7" spans="1:84">
      <c r="A7" s="128" t="s">
        <v>382</v>
      </c>
      <c r="B7" s="35"/>
      <c r="C7" s="35"/>
      <c r="D7" s="35"/>
      <c r="E7" s="35"/>
      <c r="F7" s="35"/>
      <c r="G7" s="35"/>
      <c r="H7" s="35"/>
      <c r="I7" s="35"/>
      <c r="J7" s="35"/>
      <c r="K7" s="35"/>
      <c r="L7" s="35"/>
      <c r="M7" s="35"/>
      <c r="N7" s="35"/>
      <c r="O7" s="35"/>
      <c r="P7" s="35"/>
      <c r="Q7" s="349"/>
      <c r="R7" s="35"/>
      <c r="S7" s="35"/>
      <c r="T7" s="35"/>
      <c r="U7" s="35"/>
      <c r="V7" s="35"/>
      <c r="W7" s="35"/>
      <c r="X7" s="35"/>
      <c r="Y7" s="35"/>
      <c r="Z7" s="35"/>
      <c r="AA7" s="349"/>
      <c r="AB7" s="35"/>
      <c r="AC7" s="35"/>
      <c r="AD7" s="35"/>
      <c r="AE7" s="35"/>
      <c r="AF7" s="35">
        <f>5755.918+256.491</f>
        <v>6012.4089999999997</v>
      </c>
      <c r="AG7" s="35">
        <f>14566.782+849.209</f>
        <v>15415.991</v>
      </c>
      <c r="AH7" s="35"/>
      <c r="AI7" s="35"/>
      <c r="AJ7" s="35"/>
      <c r="AK7" s="35"/>
      <c r="AL7" s="35"/>
      <c r="AM7" s="35">
        <v>663.3</v>
      </c>
      <c r="AN7" s="35"/>
      <c r="AO7" s="349"/>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436">
        <f t="shared" si="0"/>
        <v>22091.7</v>
      </c>
    </row>
    <row r="8" spans="1:84">
      <c r="A8" s="128" t="s">
        <v>453</v>
      </c>
      <c r="B8" s="35"/>
      <c r="C8" s="35"/>
      <c r="D8" s="35"/>
      <c r="E8" s="35"/>
      <c r="F8" s="35"/>
      <c r="G8" s="35"/>
      <c r="H8" s="35"/>
      <c r="I8" s="35"/>
      <c r="J8" s="35"/>
      <c r="K8" s="35"/>
      <c r="L8" s="35"/>
      <c r="M8" s="35"/>
      <c r="N8" s="35"/>
      <c r="O8" s="35"/>
      <c r="P8" s="35"/>
      <c r="Q8" s="349"/>
      <c r="R8" s="35"/>
      <c r="S8" s="35"/>
      <c r="T8" s="35"/>
      <c r="U8" s="35"/>
      <c r="V8" s="35"/>
      <c r="W8" s="35"/>
      <c r="X8" s="35"/>
      <c r="Y8" s="35"/>
      <c r="Z8" s="35"/>
      <c r="AA8" s="349"/>
      <c r="AB8" s="35"/>
      <c r="AC8" s="35"/>
      <c r="AD8" s="35"/>
      <c r="AE8" s="35"/>
      <c r="AF8" s="35"/>
      <c r="AG8" s="35"/>
      <c r="AH8" s="35"/>
      <c r="AI8" s="35"/>
      <c r="AJ8" s="35"/>
      <c r="AK8" s="35">
        <v>2804.1</v>
      </c>
      <c r="AL8" s="35"/>
      <c r="AM8" s="35"/>
      <c r="AN8" s="35"/>
      <c r="AO8" s="349"/>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436">
        <f t="shared" si="0"/>
        <v>2804.1</v>
      </c>
    </row>
    <row r="9" spans="1:84">
      <c r="A9" s="128" t="s">
        <v>383</v>
      </c>
      <c r="B9" s="35"/>
      <c r="C9" s="35"/>
      <c r="D9" s="35"/>
      <c r="E9" s="35"/>
      <c r="F9" s="35"/>
      <c r="G9" s="35"/>
      <c r="H9" s="35"/>
      <c r="I9" s="35"/>
      <c r="J9" s="35"/>
      <c r="K9" s="35"/>
      <c r="L9" s="35"/>
      <c r="M9" s="35"/>
      <c r="N9" s="35"/>
      <c r="O9" s="35"/>
      <c r="P9" s="35"/>
      <c r="Q9" s="349"/>
      <c r="R9" s="35"/>
      <c r="S9" s="35"/>
      <c r="T9" s="35"/>
      <c r="U9" s="35"/>
      <c r="V9" s="35"/>
      <c r="W9" s="35"/>
      <c r="X9" s="35"/>
      <c r="Y9" s="35"/>
      <c r="Z9" s="35"/>
      <c r="AA9" s="349"/>
      <c r="AB9" s="35"/>
      <c r="AC9" s="35"/>
      <c r="AD9" s="35"/>
      <c r="AE9" s="35"/>
      <c r="AF9" s="35"/>
      <c r="AG9" s="35"/>
      <c r="AH9" s="35"/>
      <c r="AI9" s="35"/>
      <c r="AJ9" s="35"/>
      <c r="AK9" s="35"/>
      <c r="AL9" s="35"/>
      <c r="AM9" s="35"/>
      <c r="AN9" s="35">
        <v>1500</v>
      </c>
      <c r="AO9" s="349"/>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436">
        <f t="shared" si="0"/>
        <v>1500</v>
      </c>
    </row>
    <row r="10" spans="1:84">
      <c r="A10" s="128" t="s">
        <v>384</v>
      </c>
      <c r="B10" s="35">
        <v>3361.8789999999999</v>
      </c>
      <c r="C10" s="35"/>
      <c r="D10" s="35"/>
      <c r="E10" s="35"/>
      <c r="F10" s="35"/>
      <c r="G10" s="35"/>
      <c r="H10" s="35"/>
      <c r="I10" s="35"/>
      <c r="J10" s="35"/>
      <c r="K10" s="35"/>
      <c r="L10" s="35"/>
      <c r="M10" s="35"/>
      <c r="N10" s="35"/>
      <c r="O10" s="35"/>
      <c r="P10" s="35">
        <f>2400.6+29.5</f>
        <v>2430.1</v>
      </c>
      <c r="Q10" s="349"/>
      <c r="R10" s="35"/>
      <c r="S10" s="35"/>
      <c r="T10" s="35"/>
      <c r="U10" s="35"/>
      <c r="V10" s="35"/>
      <c r="W10" s="35"/>
      <c r="X10" s="35"/>
      <c r="Y10" s="35"/>
      <c r="Z10" s="35"/>
      <c r="AA10" s="349"/>
      <c r="AB10" s="35"/>
      <c r="AC10" s="35"/>
      <c r="AD10" s="35"/>
      <c r="AE10" s="35"/>
      <c r="AF10" s="35"/>
      <c r="AG10" s="35"/>
      <c r="AH10" s="35"/>
      <c r="AI10" s="35"/>
      <c r="AJ10" s="35">
        <f>2845.5+9152.3</f>
        <v>11997.8</v>
      </c>
      <c r="AK10" s="35"/>
      <c r="AL10" s="35"/>
      <c r="AM10" s="35">
        <f>160+150</f>
        <v>310</v>
      </c>
      <c r="AN10" s="35"/>
      <c r="AO10" s="349">
        <f>127.034+15</f>
        <v>142.03399999999999</v>
      </c>
      <c r="AP10" s="35"/>
      <c r="AQ10" s="35"/>
      <c r="AR10" s="35">
        <v>2080.5</v>
      </c>
      <c r="AS10" s="35"/>
      <c r="AT10" s="35">
        <v>189.38399999999999</v>
      </c>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436">
        <f t="shared" si="0"/>
        <v>20511.696999999996</v>
      </c>
    </row>
    <row r="11" spans="1:84">
      <c r="A11" s="128" t="s">
        <v>407</v>
      </c>
      <c r="B11" s="35"/>
      <c r="C11" s="35"/>
      <c r="D11" s="35"/>
      <c r="E11" s="35"/>
      <c r="F11" s="35"/>
      <c r="G11" s="35"/>
      <c r="H11" s="35"/>
      <c r="I11" s="35"/>
      <c r="J11" s="35"/>
      <c r="K11" s="35"/>
      <c r="L11" s="35"/>
      <c r="M11" s="35"/>
      <c r="N11" s="35"/>
      <c r="O11" s="35"/>
      <c r="P11" s="35"/>
      <c r="Q11" s="349"/>
      <c r="R11" s="35"/>
      <c r="S11" s="35"/>
      <c r="T11" s="35"/>
      <c r="U11" s="35"/>
      <c r="V11" s="35"/>
      <c r="W11" s="35"/>
      <c r="X11" s="35"/>
      <c r="Y11" s="35"/>
      <c r="Z11" s="35"/>
      <c r="AA11" s="349"/>
      <c r="AB11" s="35"/>
      <c r="AC11" s="35"/>
      <c r="AD11" s="35"/>
      <c r="AE11" s="35"/>
      <c r="AF11" s="35"/>
      <c r="AG11" s="35"/>
      <c r="AH11" s="35"/>
      <c r="AI11" s="35"/>
      <c r="AJ11" s="35"/>
      <c r="AK11" s="35"/>
      <c r="AL11" s="35"/>
      <c r="AM11" s="35"/>
      <c r="AN11" s="35"/>
      <c r="AO11" s="349"/>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222">
        <f t="shared" si="0"/>
        <v>0</v>
      </c>
    </row>
    <row r="12" spans="1:84">
      <c r="A12" s="128" t="s">
        <v>387</v>
      </c>
      <c r="B12" s="35"/>
      <c r="C12" s="35"/>
      <c r="D12" s="35"/>
      <c r="E12" s="35"/>
      <c r="F12" s="35"/>
      <c r="G12" s="35">
        <v>50</v>
      </c>
      <c r="H12" s="35"/>
      <c r="I12" s="35"/>
      <c r="J12" s="35"/>
      <c r="K12" s="35"/>
      <c r="L12" s="35"/>
      <c r="M12" s="35"/>
      <c r="N12" s="35"/>
      <c r="O12" s="35"/>
      <c r="P12" s="35"/>
      <c r="Q12" s="349"/>
      <c r="R12" s="35"/>
      <c r="S12" s="35"/>
      <c r="T12" s="35"/>
      <c r="U12" s="35"/>
      <c r="V12" s="35"/>
      <c r="W12" s="35"/>
      <c r="X12" s="35"/>
      <c r="Y12" s="35"/>
      <c r="Z12" s="35"/>
      <c r="AA12" s="349"/>
      <c r="AB12" s="35"/>
      <c r="AC12" s="35"/>
      <c r="AD12" s="35"/>
      <c r="AE12" s="35"/>
      <c r="AF12" s="35"/>
      <c r="AG12" s="35"/>
      <c r="AH12" s="35"/>
      <c r="AI12" s="35"/>
      <c r="AJ12" s="35"/>
      <c r="AK12" s="35"/>
      <c r="AL12" s="35"/>
      <c r="AM12" s="35"/>
      <c r="AN12" s="35"/>
      <c r="AO12" s="349"/>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436">
        <f t="shared" si="0"/>
        <v>50</v>
      </c>
    </row>
    <row r="13" spans="1:84">
      <c r="A13" s="128" t="s">
        <v>408</v>
      </c>
      <c r="B13" s="35"/>
      <c r="C13" s="35"/>
      <c r="D13" s="35"/>
      <c r="E13" s="35"/>
      <c r="F13" s="35"/>
      <c r="G13" s="35">
        <v>358.1</v>
      </c>
      <c r="H13" s="35"/>
      <c r="I13" s="35"/>
      <c r="J13" s="35"/>
      <c r="K13" s="35"/>
      <c r="L13" s="35"/>
      <c r="M13" s="35"/>
      <c r="N13" s="35"/>
      <c r="O13" s="35"/>
      <c r="P13" s="35"/>
      <c r="Q13" s="349"/>
      <c r="R13" s="35"/>
      <c r="S13" s="35"/>
      <c r="T13" s="35"/>
      <c r="U13" s="35"/>
      <c r="V13" s="35"/>
      <c r="W13" s="35"/>
      <c r="X13" s="35"/>
      <c r="Y13" s="35"/>
      <c r="Z13" s="35"/>
      <c r="AA13" s="349"/>
      <c r="AB13" s="35"/>
      <c r="AC13" s="35"/>
      <c r="AD13" s="35"/>
      <c r="AE13" s="35"/>
      <c r="AF13" s="35"/>
      <c r="AG13" s="35"/>
      <c r="AH13" s="35"/>
      <c r="AI13" s="35"/>
      <c r="AJ13" s="35"/>
      <c r="AK13" s="35"/>
      <c r="AL13" s="35"/>
      <c r="AM13" s="35"/>
      <c r="AN13" s="35"/>
      <c r="AO13" s="349"/>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436">
        <f t="shared" si="0"/>
        <v>358.1</v>
      </c>
    </row>
    <row r="14" spans="1:84">
      <c r="A14" s="128" t="s">
        <v>410</v>
      </c>
      <c r="B14" s="35"/>
      <c r="C14" s="35"/>
      <c r="D14" s="35"/>
      <c r="E14" s="35"/>
      <c r="F14" s="35"/>
      <c r="G14" s="35"/>
      <c r="H14" s="35"/>
      <c r="I14" s="35"/>
      <c r="J14" s="35"/>
      <c r="K14" s="35"/>
      <c r="L14" s="35"/>
      <c r="M14" s="35"/>
      <c r="N14" s="35"/>
      <c r="O14" s="35"/>
      <c r="P14" s="35"/>
      <c r="Q14" s="349"/>
      <c r="R14" s="35"/>
      <c r="S14" s="35"/>
      <c r="T14" s="35"/>
      <c r="U14" s="35"/>
      <c r="V14" s="35"/>
      <c r="W14" s="35"/>
      <c r="X14" s="35"/>
      <c r="Y14" s="35"/>
      <c r="Z14" s="35"/>
      <c r="AA14" s="349"/>
      <c r="AB14" s="35"/>
      <c r="AC14" s="35"/>
      <c r="AD14" s="35"/>
      <c r="AE14" s="35"/>
      <c r="AF14" s="35"/>
      <c r="AG14" s="35"/>
      <c r="AH14" s="35"/>
      <c r="AI14" s="35"/>
      <c r="AJ14" s="35"/>
      <c r="AK14" s="35"/>
      <c r="AL14" s="35"/>
      <c r="AM14" s="35"/>
      <c r="AN14" s="35"/>
      <c r="AO14" s="349"/>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222">
        <f t="shared" si="0"/>
        <v>0</v>
      </c>
    </row>
    <row r="15" spans="1:84">
      <c r="A15" s="128" t="s">
        <v>389</v>
      </c>
      <c r="B15" s="35"/>
      <c r="C15" s="35"/>
      <c r="D15" s="35"/>
      <c r="E15" s="35"/>
      <c r="F15" s="35"/>
      <c r="G15" s="35"/>
      <c r="H15" s="35"/>
      <c r="I15" s="35"/>
      <c r="J15" s="35"/>
      <c r="K15" s="35"/>
      <c r="L15" s="35"/>
      <c r="M15" s="35"/>
      <c r="N15" s="35"/>
      <c r="O15" s="35"/>
      <c r="P15" s="35"/>
      <c r="Q15" s="349">
        <f>13548.503+41124.5</f>
        <v>54673.002999999997</v>
      </c>
      <c r="R15" s="35"/>
      <c r="S15" s="35"/>
      <c r="T15" s="35"/>
      <c r="U15" s="35">
        <v>355</v>
      </c>
      <c r="V15" s="35"/>
      <c r="W15" s="35"/>
      <c r="X15" s="35"/>
      <c r="Y15" s="35"/>
      <c r="Z15" s="35"/>
      <c r="AA15" s="349">
        <v>43.8</v>
      </c>
      <c r="AB15" s="35">
        <v>1575</v>
      </c>
      <c r="AC15" s="35"/>
      <c r="AD15" s="35"/>
      <c r="AE15" s="35"/>
      <c r="AF15" s="35"/>
      <c r="AG15" s="35"/>
      <c r="AH15" s="35"/>
      <c r="AI15" s="35"/>
      <c r="AJ15" s="35"/>
      <c r="AK15" s="35"/>
      <c r="AL15" s="35"/>
      <c r="AM15" s="35"/>
      <c r="AN15" s="35"/>
      <c r="AO15" s="349"/>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436">
        <f t="shared" si="0"/>
        <v>56646.803</v>
      </c>
    </row>
    <row r="16" spans="1:84">
      <c r="A16" s="128" t="s">
        <v>390</v>
      </c>
      <c r="B16" s="35"/>
      <c r="C16" s="35"/>
      <c r="D16" s="35"/>
      <c r="E16" s="35"/>
      <c r="F16" s="35"/>
      <c r="G16" s="35"/>
      <c r="H16" s="35"/>
      <c r="I16" s="35"/>
      <c r="J16" s="35"/>
      <c r="K16" s="35"/>
      <c r="L16" s="35"/>
      <c r="M16" s="35"/>
      <c r="N16" s="35"/>
      <c r="O16" s="35"/>
      <c r="P16" s="35"/>
      <c r="Q16" s="349"/>
      <c r="R16" s="35"/>
      <c r="S16" s="35"/>
      <c r="T16" s="35">
        <v>1000</v>
      </c>
      <c r="U16" s="35"/>
      <c r="V16" s="35"/>
      <c r="W16" s="35"/>
      <c r="X16" s="35"/>
      <c r="Y16" s="35"/>
      <c r="Z16" s="35"/>
      <c r="AA16" s="349"/>
      <c r="AB16" s="35"/>
      <c r="AC16" s="35"/>
      <c r="AD16" s="35"/>
      <c r="AE16" s="35"/>
      <c r="AF16" s="35"/>
      <c r="AG16" s="35"/>
      <c r="AH16" s="35"/>
      <c r="AI16" s="35"/>
      <c r="AJ16" s="35"/>
      <c r="AK16" s="35"/>
      <c r="AL16" s="35"/>
      <c r="AM16" s="35"/>
      <c r="AN16" s="35"/>
      <c r="AO16" s="349"/>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436">
        <f t="shared" si="0"/>
        <v>1000</v>
      </c>
    </row>
    <row r="17" spans="1:84">
      <c r="A17" s="128" t="s">
        <v>391</v>
      </c>
      <c r="B17" s="35"/>
      <c r="C17" s="35"/>
      <c r="D17" s="35"/>
      <c r="E17" s="35">
        <f>3216.2+16670</f>
        <v>19886.2</v>
      </c>
      <c r="F17" s="35">
        <v>4586.2</v>
      </c>
      <c r="G17" s="35"/>
      <c r="H17" s="35"/>
      <c r="I17" s="35"/>
      <c r="J17" s="35"/>
      <c r="K17" s="35"/>
      <c r="L17" s="35"/>
      <c r="M17" s="35"/>
      <c r="N17" s="35"/>
      <c r="O17" s="35"/>
      <c r="P17" s="35"/>
      <c r="Q17" s="349"/>
      <c r="R17" s="35"/>
      <c r="S17" s="35"/>
      <c r="T17" s="35"/>
      <c r="U17" s="35"/>
      <c r="V17" s="35"/>
      <c r="W17" s="35"/>
      <c r="X17" s="35"/>
      <c r="Y17" s="35"/>
      <c r="Z17" s="35"/>
      <c r="AA17" s="349"/>
      <c r="AB17" s="35"/>
      <c r="AC17" s="35"/>
      <c r="AD17" s="35"/>
      <c r="AE17" s="35"/>
      <c r="AF17" s="35"/>
      <c r="AG17" s="35"/>
      <c r="AH17" s="35"/>
      <c r="AI17" s="35"/>
      <c r="AJ17" s="35"/>
      <c r="AK17" s="35"/>
      <c r="AL17" s="35"/>
      <c r="AM17" s="35"/>
      <c r="AN17" s="35"/>
      <c r="AO17" s="349"/>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436">
        <f t="shared" si="0"/>
        <v>24472.400000000001</v>
      </c>
    </row>
    <row r="18" spans="1:84">
      <c r="A18" s="128" t="s">
        <v>392</v>
      </c>
      <c r="B18" s="35"/>
      <c r="C18" s="35"/>
      <c r="D18" s="35">
        <v>4143.9219999999996</v>
      </c>
      <c r="E18" s="35"/>
      <c r="F18" s="35"/>
      <c r="G18" s="35"/>
      <c r="H18" s="35"/>
      <c r="I18" s="35"/>
      <c r="J18" s="35"/>
      <c r="K18" s="35"/>
      <c r="L18" s="35"/>
      <c r="M18" s="35"/>
      <c r="N18" s="35"/>
      <c r="O18" s="35"/>
      <c r="P18" s="35"/>
      <c r="Q18" s="349"/>
      <c r="R18" s="35"/>
      <c r="S18" s="35"/>
      <c r="T18" s="35"/>
      <c r="U18" s="35"/>
      <c r="V18" s="35"/>
      <c r="W18" s="35"/>
      <c r="X18" s="35"/>
      <c r="Y18" s="35"/>
      <c r="Z18" s="35"/>
      <c r="AA18" s="349"/>
      <c r="AB18" s="35"/>
      <c r="AC18" s="35"/>
      <c r="AD18" s="35"/>
      <c r="AE18" s="35"/>
      <c r="AF18" s="35"/>
      <c r="AG18" s="35"/>
      <c r="AH18" s="35"/>
      <c r="AI18" s="35"/>
      <c r="AJ18" s="35"/>
      <c r="AK18" s="35"/>
      <c r="AL18" s="35"/>
      <c r="AM18" s="35"/>
      <c r="AN18" s="35"/>
      <c r="AO18" s="349"/>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436">
        <f t="shared" si="0"/>
        <v>4143.9219999999996</v>
      </c>
    </row>
    <row r="19" spans="1:84">
      <c r="A19" s="128" t="s">
        <v>766</v>
      </c>
      <c r="B19" s="35"/>
      <c r="C19" s="35"/>
      <c r="D19" s="35"/>
      <c r="E19" s="35"/>
      <c r="F19" s="35"/>
      <c r="G19" s="35"/>
      <c r="H19" s="35"/>
      <c r="I19" s="35"/>
      <c r="J19" s="35"/>
      <c r="K19" s="35"/>
      <c r="L19" s="35"/>
      <c r="M19" s="35"/>
      <c r="N19" s="35"/>
      <c r="O19" s="35"/>
      <c r="P19" s="35"/>
      <c r="Q19" s="349">
        <v>3500</v>
      </c>
      <c r="R19" s="35"/>
      <c r="S19" s="35"/>
      <c r="T19" s="35"/>
      <c r="U19" s="35"/>
      <c r="V19" s="35"/>
      <c r="W19" s="35"/>
      <c r="X19" s="35"/>
      <c r="Y19" s="35"/>
      <c r="Z19" s="35"/>
      <c r="AA19" s="349"/>
      <c r="AB19" s="35"/>
      <c r="AC19" s="35"/>
      <c r="AD19" s="35"/>
      <c r="AE19" s="35"/>
      <c r="AF19" s="35"/>
      <c r="AG19" s="35"/>
      <c r="AH19" s="35"/>
      <c r="AI19" s="35"/>
      <c r="AJ19" s="35"/>
      <c r="AK19" s="35"/>
      <c r="AL19" s="35"/>
      <c r="AM19" s="35"/>
      <c r="AN19" s="35"/>
      <c r="AO19" s="349"/>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436">
        <f t="shared" si="0"/>
        <v>3500</v>
      </c>
    </row>
    <row r="20" spans="1:84">
      <c r="A20" s="128" t="s">
        <v>394</v>
      </c>
      <c r="B20" s="35"/>
      <c r="C20" s="35"/>
      <c r="D20" s="35"/>
      <c r="E20" s="35"/>
      <c r="F20" s="35"/>
      <c r="G20" s="35"/>
      <c r="H20" s="35"/>
      <c r="I20" s="35"/>
      <c r="J20" s="35"/>
      <c r="K20" s="35"/>
      <c r="L20" s="35"/>
      <c r="M20" s="35"/>
      <c r="N20" s="35"/>
      <c r="O20" s="35"/>
      <c r="P20" s="35"/>
      <c r="Q20" s="349"/>
      <c r="R20" s="35"/>
      <c r="S20" s="35"/>
      <c r="T20" s="35"/>
      <c r="U20" s="35"/>
      <c r="V20" s="35">
        <v>550</v>
      </c>
      <c r="W20" s="35"/>
      <c r="X20" s="35"/>
      <c r="Y20" s="35"/>
      <c r="Z20" s="35"/>
      <c r="AA20" s="349"/>
      <c r="AB20" s="35"/>
      <c r="AC20" s="35"/>
      <c r="AD20" s="35"/>
      <c r="AE20" s="35"/>
      <c r="AF20" s="35"/>
      <c r="AG20" s="35"/>
      <c r="AH20" s="35"/>
      <c r="AI20" s="35"/>
      <c r="AJ20" s="35"/>
      <c r="AK20" s="35"/>
      <c r="AL20" s="35"/>
      <c r="AM20" s="35"/>
      <c r="AN20" s="35"/>
      <c r="AO20" s="349"/>
      <c r="AP20" s="35">
        <v>245.7</v>
      </c>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436">
        <f t="shared" si="0"/>
        <v>795.7</v>
      </c>
    </row>
    <row r="21" spans="1:84">
      <c r="A21" s="128" t="s">
        <v>409</v>
      </c>
      <c r="B21" s="35"/>
      <c r="C21" s="35"/>
      <c r="D21" s="35"/>
      <c r="E21" s="35"/>
      <c r="F21" s="35"/>
      <c r="G21" s="35"/>
      <c r="H21" s="35"/>
      <c r="I21" s="35"/>
      <c r="J21" s="35"/>
      <c r="K21" s="35"/>
      <c r="L21" s="35"/>
      <c r="M21" s="35"/>
      <c r="N21" s="35"/>
      <c r="O21" s="35"/>
      <c r="P21" s="35"/>
      <c r="Q21" s="349"/>
      <c r="R21" s="35"/>
      <c r="S21" s="35"/>
      <c r="T21" s="35"/>
      <c r="U21" s="35"/>
      <c r="V21" s="35"/>
      <c r="W21" s="35"/>
      <c r="X21" s="35"/>
      <c r="Y21" s="35"/>
      <c r="Z21" s="35"/>
      <c r="AA21" s="349"/>
      <c r="AB21" s="35"/>
      <c r="AC21" s="35"/>
      <c r="AD21" s="35"/>
      <c r="AE21" s="35"/>
      <c r="AF21" s="35"/>
      <c r="AG21" s="35"/>
      <c r="AH21" s="35"/>
      <c r="AI21" s="35"/>
      <c r="AJ21" s="35"/>
      <c r="AK21" s="35"/>
      <c r="AL21" s="35"/>
      <c r="AM21" s="35"/>
      <c r="AN21" s="35"/>
      <c r="AO21" s="349"/>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222">
        <f t="shared" si="0"/>
        <v>0</v>
      </c>
    </row>
    <row r="22" spans="1:84">
      <c r="A22" s="128" t="s">
        <v>395</v>
      </c>
      <c r="B22" s="35"/>
      <c r="C22" s="35">
        <v>28703.445</v>
      </c>
      <c r="D22" s="35"/>
      <c r="E22" s="35"/>
      <c r="F22" s="35"/>
      <c r="G22" s="35"/>
      <c r="H22" s="35"/>
      <c r="I22" s="35"/>
      <c r="J22" s="35"/>
      <c r="K22" s="35"/>
      <c r="L22" s="35"/>
      <c r="M22" s="35"/>
      <c r="N22" s="35"/>
      <c r="O22" s="35"/>
      <c r="P22" s="35"/>
      <c r="Q22" s="349"/>
      <c r="R22" s="35"/>
      <c r="S22" s="35"/>
      <c r="T22" s="35"/>
      <c r="U22" s="35"/>
      <c r="V22" s="35"/>
      <c r="W22" s="35"/>
      <c r="X22" s="35"/>
      <c r="Y22" s="35"/>
      <c r="Z22" s="35"/>
      <c r="AA22" s="349"/>
      <c r="AB22" s="35"/>
      <c r="AC22" s="35"/>
      <c r="AD22" s="35"/>
      <c r="AE22" s="35"/>
      <c r="AF22" s="35"/>
      <c r="AG22" s="35"/>
      <c r="AH22" s="35"/>
      <c r="AI22" s="35"/>
      <c r="AJ22" s="35"/>
      <c r="AK22" s="35"/>
      <c r="AL22" s="35"/>
      <c r="AM22" s="35"/>
      <c r="AN22" s="35"/>
      <c r="AO22" s="349"/>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436">
        <f t="shared" si="0"/>
        <v>28703.445</v>
      </c>
    </row>
    <row r="23" spans="1:84">
      <c r="A23" s="128" t="s">
        <v>396</v>
      </c>
      <c r="B23" s="35"/>
      <c r="C23" s="35"/>
      <c r="D23" s="35"/>
      <c r="E23" s="35"/>
      <c r="F23" s="35"/>
      <c r="G23" s="35"/>
      <c r="H23" s="35"/>
      <c r="I23" s="35"/>
      <c r="J23" s="35"/>
      <c r="K23" s="35"/>
      <c r="L23" s="35"/>
      <c r="M23" s="35"/>
      <c r="N23" s="35">
        <v>13169.893</v>
      </c>
      <c r="O23" s="35"/>
      <c r="P23" s="35"/>
      <c r="Q23" s="349"/>
      <c r="R23" s="35"/>
      <c r="S23" s="35"/>
      <c r="T23" s="35"/>
      <c r="U23" s="35"/>
      <c r="V23" s="35"/>
      <c r="W23" s="35"/>
      <c r="X23" s="35"/>
      <c r="Y23" s="35"/>
      <c r="Z23" s="35"/>
      <c r="AA23" s="349"/>
      <c r="AB23" s="35"/>
      <c r="AC23" s="35"/>
      <c r="AD23" s="35"/>
      <c r="AE23" s="35"/>
      <c r="AF23" s="35"/>
      <c r="AG23" s="35"/>
      <c r="AH23" s="35"/>
      <c r="AI23" s="35"/>
      <c r="AJ23" s="35"/>
      <c r="AK23" s="35"/>
      <c r="AL23" s="35"/>
      <c r="AM23" s="35"/>
      <c r="AN23" s="35"/>
      <c r="AO23" s="349"/>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436">
        <f t="shared" si="0"/>
        <v>13169.893</v>
      </c>
    </row>
    <row r="24" spans="1:84" hidden="1">
      <c r="A24" s="128" t="s">
        <v>505</v>
      </c>
      <c r="B24" s="35"/>
      <c r="C24" s="35"/>
      <c r="D24" s="35"/>
      <c r="E24" s="35"/>
      <c r="F24" s="35"/>
      <c r="G24" s="35"/>
      <c r="H24" s="35"/>
      <c r="I24" s="35"/>
      <c r="J24" s="35"/>
      <c r="K24" s="35"/>
      <c r="L24" s="35"/>
      <c r="M24" s="35"/>
      <c r="N24" s="35"/>
      <c r="O24" s="35"/>
      <c r="P24" s="35"/>
      <c r="Q24" s="349"/>
      <c r="R24" s="35"/>
      <c r="S24" s="35"/>
      <c r="T24" s="35"/>
      <c r="U24" s="35"/>
      <c r="V24" s="35"/>
      <c r="W24" s="35"/>
      <c r="X24" s="35"/>
      <c r="Y24" s="35"/>
      <c r="Z24" s="35"/>
      <c r="AA24" s="349"/>
      <c r="AB24" s="35"/>
      <c r="AC24" s="35"/>
      <c r="AD24" s="35"/>
      <c r="AE24" s="35"/>
      <c r="AF24" s="35"/>
      <c r="AG24" s="35"/>
      <c r="AH24" s="35"/>
      <c r="AI24" s="35"/>
      <c r="AJ24" s="35"/>
      <c r="AK24" s="35"/>
      <c r="AL24" s="35"/>
      <c r="AM24" s="35"/>
      <c r="AN24" s="35"/>
      <c r="AO24" s="349"/>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222">
        <f t="shared" si="0"/>
        <v>0</v>
      </c>
    </row>
    <row r="25" spans="1:84">
      <c r="A25" s="128" t="s">
        <v>397</v>
      </c>
      <c r="B25" s="35"/>
      <c r="C25" s="35"/>
      <c r="D25" s="35"/>
      <c r="E25" s="35"/>
      <c r="F25" s="35"/>
      <c r="G25" s="35"/>
      <c r="H25" s="35">
        <f>1395+30441.348+76015.3+905.715</f>
        <v>108757.363</v>
      </c>
      <c r="I25" s="35"/>
      <c r="J25" s="35"/>
      <c r="K25" s="35"/>
      <c r="L25" s="35"/>
      <c r="M25" s="35"/>
      <c r="N25" s="35"/>
      <c r="O25" s="35"/>
      <c r="P25" s="35"/>
      <c r="Q25" s="349"/>
      <c r="R25" s="35"/>
      <c r="S25" s="35"/>
      <c r="T25" s="35"/>
      <c r="U25" s="35"/>
      <c r="V25" s="35"/>
      <c r="W25" s="35"/>
      <c r="X25" s="35"/>
      <c r="Y25" s="35"/>
      <c r="Z25" s="35"/>
      <c r="AA25" s="349"/>
      <c r="AB25" s="35"/>
      <c r="AC25" s="35"/>
      <c r="AD25" s="35"/>
      <c r="AE25" s="35"/>
      <c r="AF25" s="35"/>
      <c r="AG25" s="35"/>
      <c r="AH25" s="35"/>
      <c r="AI25" s="35"/>
      <c r="AJ25" s="35"/>
      <c r="AK25" s="35"/>
      <c r="AL25" s="35"/>
      <c r="AM25" s="35">
        <v>1381.8</v>
      </c>
      <c r="AN25" s="35"/>
      <c r="AO25" s="349"/>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436">
        <f t="shared" si="0"/>
        <v>110139.163</v>
      </c>
    </row>
    <row r="26" spans="1:84">
      <c r="A26" s="128" t="s">
        <v>398</v>
      </c>
      <c r="B26" s="35"/>
      <c r="C26" s="35"/>
      <c r="D26" s="35"/>
      <c r="E26" s="35"/>
      <c r="F26" s="35"/>
      <c r="G26" s="35"/>
      <c r="H26" s="35">
        <v>32457.1</v>
      </c>
      <c r="I26" s="35">
        <f>2991+699.666+1481.38+587.5+18858.741+1337.8+857.8+1625.313+50.2568+702.271+21.72+4399.511+136.068+692+24293.893+6146.708+1676.55+51.3</f>
        <v>66609.477800000008</v>
      </c>
      <c r="J26" s="35">
        <f>2618.5+1004.334+1190+587.5+24+2243.3+1337.8+1625.313+50.268+480.671+14.865+4399.511+136.068+37637.008+937.293+1290.35+298.03</f>
        <v>55874.810999999994</v>
      </c>
      <c r="K26" s="35"/>
      <c r="L26" s="35"/>
      <c r="M26" s="35"/>
      <c r="N26" s="35"/>
      <c r="O26" s="35"/>
      <c r="P26" s="35"/>
      <c r="Q26" s="349"/>
      <c r="R26" s="35"/>
      <c r="S26" s="35"/>
      <c r="T26" s="35"/>
      <c r="U26" s="35"/>
      <c r="V26" s="35"/>
      <c r="W26" s="35"/>
      <c r="X26" s="35"/>
      <c r="Y26" s="35"/>
      <c r="Z26" s="35"/>
      <c r="AA26" s="349"/>
      <c r="AB26" s="35"/>
      <c r="AC26" s="35"/>
      <c r="AD26" s="35"/>
      <c r="AE26" s="35"/>
      <c r="AF26" s="35"/>
      <c r="AG26" s="35"/>
      <c r="AH26" s="35"/>
      <c r="AI26" s="35"/>
      <c r="AJ26" s="35"/>
      <c r="AK26" s="35"/>
      <c r="AL26" s="35"/>
      <c r="AM26" s="35">
        <v>3716</v>
      </c>
      <c r="AN26" s="35"/>
      <c r="AO26" s="349"/>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436">
        <f t="shared" si="0"/>
        <v>158657.38879999999</v>
      </c>
    </row>
    <row r="27" spans="1:84">
      <c r="A27" s="128" t="s">
        <v>454</v>
      </c>
      <c r="B27" s="35"/>
      <c r="C27" s="35"/>
      <c r="D27" s="35"/>
      <c r="E27" s="35"/>
      <c r="F27" s="35"/>
      <c r="G27" s="35"/>
      <c r="H27" s="35"/>
      <c r="I27" s="35"/>
      <c r="J27" s="35"/>
      <c r="K27" s="35">
        <f>90085.452-506.6-663.5</f>
        <v>88915.351999999999</v>
      </c>
      <c r="L27" s="35"/>
      <c r="M27" s="35">
        <v>506.6</v>
      </c>
      <c r="N27" s="35"/>
      <c r="O27" s="35"/>
      <c r="P27" s="35"/>
      <c r="Q27" s="349"/>
      <c r="R27" s="35"/>
      <c r="S27" s="35"/>
      <c r="T27" s="35"/>
      <c r="U27" s="35"/>
      <c r="V27" s="35"/>
      <c r="W27" s="35"/>
      <c r="X27" s="35"/>
      <c r="Y27" s="35"/>
      <c r="Z27" s="35"/>
      <c r="AA27" s="349"/>
      <c r="AB27" s="35"/>
      <c r="AC27" s="35"/>
      <c r="AD27" s="35"/>
      <c r="AE27" s="35"/>
      <c r="AF27" s="35"/>
      <c r="AG27" s="35"/>
      <c r="AH27" s="35"/>
      <c r="AI27" s="35"/>
      <c r="AJ27" s="35"/>
      <c r="AK27" s="35"/>
      <c r="AL27" s="35"/>
      <c r="AM27" s="35">
        <v>663.5</v>
      </c>
      <c r="AN27" s="35"/>
      <c r="AO27" s="349"/>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222">
        <f t="shared" si="0"/>
        <v>90085.452000000005</v>
      </c>
    </row>
    <row r="28" spans="1:84">
      <c r="A28" s="128" t="s">
        <v>1115</v>
      </c>
      <c r="B28" s="35"/>
      <c r="C28" s="35"/>
      <c r="D28" s="35"/>
      <c r="E28" s="35"/>
      <c r="F28" s="35"/>
      <c r="G28" s="35"/>
      <c r="H28" s="35"/>
      <c r="I28" s="35"/>
      <c r="J28" s="35"/>
      <c r="K28" s="35"/>
      <c r="L28" s="35"/>
      <c r="M28" s="35"/>
      <c r="N28" s="35"/>
      <c r="O28" s="35"/>
      <c r="P28" s="35"/>
      <c r="Q28" s="349"/>
      <c r="R28" s="35"/>
      <c r="S28" s="35"/>
      <c r="T28" s="35"/>
      <c r="U28" s="35"/>
      <c r="V28" s="35"/>
      <c r="W28" s="35"/>
      <c r="X28" s="35"/>
      <c r="Y28" s="35"/>
      <c r="Z28" s="35"/>
      <c r="AA28" s="349"/>
      <c r="AB28" s="35"/>
      <c r="AC28" s="35"/>
      <c r="AD28" s="35"/>
      <c r="AE28" s="35"/>
      <c r="AF28" s="35"/>
      <c r="AG28" s="35"/>
      <c r="AH28" s="35"/>
      <c r="AI28" s="35"/>
      <c r="AJ28" s="35"/>
      <c r="AK28" s="35"/>
      <c r="AL28" s="35">
        <v>6231.6</v>
      </c>
      <c r="AM28" s="35"/>
      <c r="AN28" s="35"/>
      <c r="AO28" s="349"/>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222">
        <f t="shared" si="0"/>
        <v>6231.6</v>
      </c>
    </row>
    <row r="29" spans="1:84">
      <c r="A29" s="128" t="s">
        <v>399</v>
      </c>
      <c r="B29" s="35"/>
      <c r="C29" s="35"/>
      <c r="D29" s="35"/>
      <c r="E29" s="35"/>
      <c r="F29" s="35"/>
      <c r="G29" s="35"/>
      <c r="H29" s="35"/>
      <c r="I29" s="35"/>
      <c r="J29" s="35"/>
      <c r="K29" s="35"/>
      <c r="L29" s="35">
        <f>3783.44+2937.5</f>
        <v>6720.9400000000005</v>
      </c>
      <c r="M29" s="35"/>
      <c r="N29" s="35"/>
      <c r="O29" s="35"/>
      <c r="P29" s="35"/>
      <c r="Q29" s="349"/>
      <c r="R29" s="35"/>
      <c r="S29" s="35"/>
      <c r="T29" s="35"/>
      <c r="U29" s="35"/>
      <c r="V29" s="35"/>
      <c r="W29" s="35"/>
      <c r="X29" s="35"/>
      <c r="Y29" s="35">
        <v>300</v>
      </c>
      <c r="Z29" s="35"/>
      <c r="AA29" s="349"/>
      <c r="AB29" s="35"/>
      <c r="AC29" s="35"/>
      <c r="AD29" s="35"/>
      <c r="AE29" s="35"/>
      <c r="AF29" s="35"/>
      <c r="AG29" s="35"/>
      <c r="AH29" s="35"/>
      <c r="AI29" s="35"/>
      <c r="AJ29" s="35"/>
      <c r="AK29" s="35"/>
      <c r="AL29" s="35"/>
      <c r="AM29" s="35"/>
      <c r="AN29" s="35"/>
      <c r="AO29" s="349"/>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222">
        <f t="shared" si="0"/>
        <v>7020.9400000000005</v>
      </c>
    </row>
    <row r="30" spans="1:84">
      <c r="A30" s="128" t="s">
        <v>400</v>
      </c>
      <c r="B30" s="35"/>
      <c r="C30" s="35"/>
      <c r="D30" s="35"/>
      <c r="E30" s="35"/>
      <c r="F30" s="35"/>
      <c r="G30" s="35"/>
      <c r="H30" s="35"/>
      <c r="I30" s="35"/>
      <c r="J30" s="35"/>
      <c r="K30" s="35"/>
      <c r="L30" s="35"/>
      <c r="M30" s="35">
        <v>319.39999999999998</v>
      </c>
      <c r="N30" s="35"/>
      <c r="O30" s="35"/>
      <c r="P30" s="35"/>
      <c r="Q30" s="349"/>
      <c r="R30" s="35"/>
      <c r="S30" s="35"/>
      <c r="T30" s="35"/>
      <c r="U30" s="35"/>
      <c r="V30" s="35"/>
      <c r="W30" s="35"/>
      <c r="X30" s="35"/>
      <c r="Y30" s="35"/>
      <c r="Z30" s="35"/>
      <c r="AA30" s="349"/>
      <c r="AB30" s="35"/>
      <c r="AC30" s="35"/>
      <c r="AD30" s="35"/>
      <c r="AE30" s="35"/>
      <c r="AF30" s="35">
        <v>5620.7</v>
      </c>
      <c r="AG30" s="35">
        <v>12430</v>
      </c>
      <c r="AH30" s="35"/>
      <c r="AI30" s="35"/>
      <c r="AJ30" s="35"/>
      <c r="AK30" s="35"/>
      <c r="AL30" s="35"/>
      <c r="AM30" s="35">
        <v>250</v>
      </c>
      <c r="AN30" s="35"/>
      <c r="AO30" s="349"/>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222">
        <f t="shared" si="0"/>
        <v>18620.099999999999</v>
      </c>
    </row>
    <row r="31" spans="1:84" s="129" customFormat="1">
      <c r="A31" s="128" t="s">
        <v>401</v>
      </c>
      <c r="B31" s="35"/>
      <c r="C31" s="35"/>
      <c r="D31" s="35"/>
      <c r="E31" s="35"/>
      <c r="F31" s="35"/>
      <c r="G31" s="35"/>
      <c r="H31" s="35"/>
      <c r="I31" s="35"/>
      <c r="J31" s="35"/>
      <c r="K31" s="35"/>
      <c r="L31" s="35"/>
      <c r="M31" s="35"/>
      <c r="N31" s="35"/>
      <c r="O31" s="35"/>
      <c r="P31" s="35">
        <f>968.1+513</f>
        <v>1481.1</v>
      </c>
      <c r="Q31" s="349"/>
      <c r="R31" s="35">
        <f>31459.5+1818.4+18659.34+984/2+21.8+1851.8+450.6</f>
        <v>54753.44000000001</v>
      </c>
      <c r="S31" s="35">
        <v>654.66099999999994</v>
      </c>
      <c r="T31" s="35"/>
      <c r="U31" s="35"/>
      <c r="V31" s="35"/>
      <c r="W31" s="35"/>
      <c r="X31" s="35"/>
      <c r="Y31" s="35"/>
      <c r="Z31" s="35">
        <f>20406.6+11186.877+984.283/2+65.7+7830.9+258.6+100</f>
        <v>40340.818500000001</v>
      </c>
      <c r="AA31" s="349"/>
      <c r="AB31" s="35"/>
      <c r="AC31" s="35">
        <v>15708.3</v>
      </c>
      <c r="AD31" s="35">
        <f>7725.8+2192.4+4413.8+7815.6+3732.7+23650</f>
        <v>49530.3</v>
      </c>
      <c r="AE31" s="35"/>
      <c r="AF31" s="35"/>
      <c r="AG31" s="35"/>
      <c r="AH31" s="35"/>
      <c r="AI31" s="35"/>
      <c r="AJ31" s="35"/>
      <c r="AK31" s="35"/>
      <c r="AL31" s="35"/>
      <c r="AM31" s="35">
        <v>919.3</v>
      </c>
      <c r="AN31" s="35"/>
      <c r="AO31" s="349"/>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222">
        <f t="shared" si="0"/>
        <v>163387.91950000002</v>
      </c>
    </row>
    <row r="32" spans="1:84">
      <c r="A32" s="128" t="s">
        <v>402</v>
      </c>
      <c r="B32" s="35"/>
      <c r="C32" s="35"/>
      <c r="D32" s="35"/>
      <c r="E32" s="35"/>
      <c r="F32" s="35"/>
      <c r="G32" s="35"/>
      <c r="H32" s="35"/>
      <c r="I32" s="35"/>
      <c r="J32" s="35"/>
      <c r="K32" s="35"/>
      <c r="L32" s="35"/>
      <c r="M32" s="35"/>
      <c r="N32" s="35"/>
      <c r="O32" s="35"/>
      <c r="P32" s="35"/>
      <c r="Q32" s="349"/>
      <c r="R32" s="35"/>
      <c r="S32" s="35"/>
      <c r="T32" s="35"/>
      <c r="U32" s="35"/>
      <c r="V32" s="35"/>
      <c r="W32" s="35"/>
      <c r="X32" s="35"/>
      <c r="Y32" s="35"/>
      <c r="Z32" s="35"/>
      <c r="AA32" s="349"/>
      <c r="AB32" s="35"/>
      <c r="AC32" s="35"/>
      <c r="AD32" s="35"/>
      <c r="AE32" s="35"/>
      <c r="AF32" s="35">
        <f>3217.8+50.2</f>
        <v>3268</v>
      </c>
      <c r="AG32" s="35">
        <v>7164.4</v>
      </c>
      <c r="AH32" s="35"/>
      <c r="AI32" s="35"/>
      <c r="AJ32" s="35"/>
      <c r="AK32" s="35"/>
      <c r="AL32" s="35"/>
      <c r="AM32" s="35">
        <v>319.5</v>
      </c>
      <c r="AN32" s="35"/>
      <c r="AO32" s="349"/>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222">
        <f t="shared" si="0"/>
        <v>10751.9</v>
      </c>
    </row>
    <row r="33" spans="1:85">
      <c r="A33" s="128" t="s">
        <v>403</v>
      </c>
      <c r="B33" s="35"/>
      <c r="C33" s="35"/>
      <c r="D33" s="35"/>
      <c r="E33" s="35"/>
      <c r="F33" s="35"/>
      <c r="G33" s="35"/>
      <c r="H33" s="35"/>
      <c r="I33" s="35"/>
      <c r="J33" s="35"/>
      <c r="K33" s="35"/>
      <c r="L33" s="35"/>
      <c r="M33" s="35"/>
      <c r="N33" s="35"/>
      <c r="O33" s="35"/>
      <c r="P33" s="35"/>
      <c r="Q33" s="349"/>
      <c r="R33" s="35"/>
      <c r="S33" s="35"/>
      <c r="T33" s="35"/>
      <c r="U33" s="35"/>
      <c r="V33" s="35"/>
      <c r="W33" s="35"/>
      <c r="X33" s="35"/>
      <c r="Y33" s="35"/>
      <c r="Z33" s="35"/>
      <c r="AA33" s="349"/>
      <c r="AB33" s="35"/>
      <c r="AC33" s="35"/>
      <c r="AD33" s="35"/>
      <c r="AE33" s="35"/>
      <c r="AF33" s="35"/>
      <c r="AG33" s="35"/>
      <c r="AH33" s="35"/>
      <c r="AI33" s="35"/>
      <c r="AJ33" s="35"/>
      <c r="AK33" s="35"/>
      <c r="AL33" s="35"/>
      <c r="AM33" s="35"/>
      <c r="AN33" s="35"/>
      <c r="AO33" s="349"/>
      <c r="AP33" s="35"/>
      <c r="AQ33" s="35">
        <v>4775.12</v>
      </c>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222">
        <f t="shared" si="0"/>
        <v>4775.12</v>
      </c>
    </row>
    <row r="34" spans="1:85">
      <c r="A34" s="128" t="s">
        <v>385</v>
      </c>
      <c r="B34" s="35"/>
      <c r="C34" s="35"/>
      <c r="D34" s="35"/>
      <c r="E34" s="35"/>
      <c r="F34" s="35"/>
      <c r="G34" s="35"/>
      <c r="H34" s="35"/>
      <c r="I34" s="35"/>
      <c r="J34" s="35"/>
      <c r="K34" s="35"/>
      <c r="L34" s="35"/>
      <c r="M34" s="35"/>
      <c r="N34" s="35"/>
      <c r="O34" s="35"/>
      <c r="P34" s="35"/>
      <c r="Q34" s="349"/>
      <c r="R34" s="35"/>
      <c r="S34" s="35"/>
      <c r="T34" s="35"/>
      <c r="U34" s="35"/>
      <c r="V34" s="35"/>
      <c r="W34" s="35"/>
      <c r="X34" s="35"/>
      <c r="Y34" s="35"/>
      <c r="Z34" s="35"/>
      <c r="AA34" s="349"/>
      <c r="AB34" s="35"/>
      <c r="AC34" s="35"/>
      <c r="AD34" s="35"/>
      <c r="AE34" s="35"/>
      <c r="AF34" s="35">
        <v>1.7</v>
      </c>
      <c r="AG34" s="35"/>
      <c r="AH34" s="35"/>
      <c r="AI34" s="35"/>
      <c r="AJ34" s="35"/>
      <c r="AK34" s="35"/>
      <c r="AL34" s="35"/>
      <c r="AM34" s="35"/>
      <c r="AN34" s="35"/>
      <c r="AO34" s="349"/>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222">
        <f t="shared" si="0"/>
        <v>1.7</v>
      </c>
    </row>
    <row r="35" spans="1:85">
      <c r="A35" s="128" t="s">
        <v>393</v>
      </c>
      <c r="B35" s="35"/>
      <c r="C35" s="35"/>
      <c r="D35" s="35"/>
      <c r="E35" s="35"/>
      <c r="F35" s="35"/>
      <c r="G35" s="35"/>
      <c r="H35" s="35"/>
      <c r="I35" s="35"/>
      <c r="J35" s="35"/>
      <c r="K35" s="35"/>
      <c r="L35" s="35"/>
      <c r="M35" s="35"/>
      <c r="N35" s="35"/>
      <c r="O35" s="35"/>
      <c r="P35" s="35"/>
      <c r="Q35" s="349"/>
      <c r="R35" s="35"/>
      <c r="S35" s="35"/>
      <c r="T35" s="35"/>
      <c r="U35" s="35"/>
      <c r="V35" s="35"/>
      <c r="W35" s="35"/>
      <c r="X35" s="35"/>
      <c r="Y35" s="35"/>
      <c r="Z35" s="35"/>
      <c r="AA35" s="349"/>
      <c r="AB35" s="35"/>
      <c r="AC35" s="35"/>
      <c r="AD35" s="35"/>
      <c r="AE35" s="35"/>
      <c r="AF35" s="35"/>
      <c r="AG35" s="35"/>
      <c r="AH35" s="35"/>
      <c r="AI35" s="35"/>
      <c r="AJ35" s="35"/>
      <c r="AK35" s="35"/>
      <c r="AL35" s="35"/>
      <c r="AM35" s="35"/>
      <c r="AN35" s="35"/>
      <c r="AO35" s="349"/>
      <c r="AP35" s="35"/>
      <c r="AQ35" s="35">
        <v>2.8</v>
      </c>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222">
        <f t="shared" si="0"/>
        <v>2.8</v>
      </c>
    </row>
    <row r="36" spans="1:85">
      <c r="A36" s="128" t="s">
        <v>378</v>
      </c>
      <c r="B36" s="35"/>
      <c r="C36" s="35"/>
      <c r="D36" s="35"/>
      <c r="E36" s="35"/>
      <c r="F36" s="35"/>
      <c r="G36" s="35"/>
      <c r="H36" s="35"/>
      <c r="I36" s="35"/>
      <c r="J36" s="35"/>
      <c r="K36" s="35"/>
      <c r="L36" s="35"/>
      <c r="M36" s="35"/>
      <c r="N36" s="35"/>
      <c r="O36" s="35"/>
      <c r="P36" s="35"/>
      <c r="Q36" s="349"/>
      <c r="R36" s="35"/>
      <c r="S36" s="35"/>
      <c r="T36" s="35"/>
      <c r="U36" s="35"/>
      <c r="V36" s="35"/>
      <c r="W36" s="35">
        <v>4818.5</v>
      </c>
      <c r="X36" s="35">
        <v>12820.598</v>
      </c>
      <c r="Y36" s="35"/>
      <c r="Z36" s="35"/>
      <c r="AA36" s="349"/>
      <c r="AB36" s="35"/>
      <c r="AC36" s="35"/>
      <c r="AD36" s="35"/>
      <c r="AE36" s="35"/>
      <c r="AF36" s="35"/>
      <c r="AG36" s="35"/>
      <c r="AH36" s="35"/>
      <c r="AI36" s="35"/>
      <c r="AJ36" s="35"/>
      <c r="AK36" s="35"/>
      <c r="AL36" s="35"/>
      <c r="AM36" s="35"/>
      <c r="AN36" s="35"/>
      <c r="AO36" s="349"/>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222">
        <f t="shared" si="0"/>
        <v>17639.097999999998</v>
      </c>
    </row>
    <row r="37" spans="1:85">
      <c r="A37" s="128" t="s">
        <v>404</v>
      </c>
      <c r="B37" s="35"/>
      <c r="C37" s="35"/>
      <c r="D37" s="35"/>
      <c r="E37" s="35"/>
      <c r="F37" s="35"/>
      <c r="G37" s="35"/>
      <c r="H37" s="35"/>
      <c r="I37" s="35"/>
      <c r="J37" s="35"/>
      <c r="K37" s="35"/>
      <c r="L37" s="35"/>
      <c r="M37" s="35"/>
      <c r="N37" s="35"/>
      <c r="O37" s="35"/>
      <c r="P37" s="35"/>
      <c r="Q37" s="349"/>
      <c r="R37" s="35"/>
      <c r="S37" s="35"/>
      <c r="T37" s="35"/>
      <c r="U37" s="35"/>
      <c r="V37" s="35"/>
      <c r="W37" s="35"/>
      <c r="X37" s="35">
        <v>166.7</v>
      </c>
      <c r="Y37" s="35"/>
      <c r="Z37" s="35"/>
      <c r="AA37" s="349"/>
      <c r="AB37" s="35"/>
      <c r="AC37" s="35"/>
      <c r="AD37" s="35"/>
      <c r="AE37" s="35"/>
      <c r="AF37" s="35"/>
      <c r="AG37" s="35"/>
      <c r="AH37" s="35"/>
      <c r="AI37" s="35"/>
      <c r="AJ37" s="35"/>
      <c r="AK37" s="35"/>
      <c r="AL37" s="35"/>
      <c r="AM37" s="35"/>
      <c r="AN37" s="35"/>
      <c r="AO37" s="349"/>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222">
        <f t="shared" si="0"/>
        <v>166.7</v>
      </c>
    </row>
    <row r="38" spans="1:85" ht="12.75" customHeight="1">
      <c r="A38" s="128" t="s">
        <v>47</v>
      </c>
      <c r="B38" s="35"/>
      <c r="C38" s="35"/>
      <c r="D38" s="35"/>
      <c r="E38" s="35"/>
      <c r="F38" s="35"/>
      <c r="G38" s="35"/>
      <c r="H38" s="35"/>
      <c r="I38" s="35"/>
      <c r="J38" s="35"/>
      <c r="K38" s="35"/>
      <c r="L38" s="35"/>
      <c r="M38" s="35"/>
      <c r="N38" s="35"/>
      <c r="O38" s="35"/>
      <c r="P38" s="35"/>
      <c r="Q38" s="349"/>
      <c r="R38" s="35"/>
      <c r="S38" s="35"/>
      <c r="T38" s="35"/>
      <c r="U38" s="35"/>
      <c r="V38" s="35"/>
      <c r="W38" s="35"/>
      <c r="X38" s="35"/>
      <c r="Y38" s="35"/>
      <c r="Z38" s="35"/>
      <c r="AA38" s="349"/>
      <c r="AB38" s="35"/>
      <c r="AC38" s="35"/>
      <c r="AD38" s="35"/>
      <c r="AE38" s="35"/>
      <c r="AF38" s="35"/>
      <c r="AG38" s="35"/>
      <c r="AH38" s="35"/>
      <c r="AI38" s="35"/>
      <c r="AJ38" s="35"/>
      <c r="AK38" s="35"/>
      <c r="AL38" s="35"/>
      <c r="AM38" s="35"/>
      <c r="AN38" s="35"/>
      <c r="AO38" s="349"/>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222">
        <f t="shared" si="0"/>
        <v>0</v>
      </c>
    </row>
    <row r="39" spans="1:85">
      <c r="A39" s="128" t="s">
        <v>405</v>
      </c>
      <c r="B39" s="35"/>
      <c r="C39" s="35"/>
      <c r="D39" s="35"/>
      <c r="E39" s="35"/>
      <c r="F39" s="35"/>
      <c r="G39" s="35"/>
      <c r="H39" s="35"/>
      <c r="I39" s="35"/>
      <c r="J39" s="35"/>
      <c r="K39" s="35"/>
      <c r="L39" s="35"/>
      <c r="M39" s="35"/>
      <c r="N39" s="35"/>
      <c r="O39" s="35"/>
      <c r="P39" s="35"/>
      <c r="Q39" s="349"/>
      <c r="R39" s="35"/>
      <c r="S39" s="35"/>
      <c r="T39" s="35"/>
      <c r="U39" s="35"/>
      <c r="V39" s="35"/>
      <c r="W39" s="35"/>
      <c r="X39" s="35"/>
      <c r="Y39" s="35"/>
      <c r="Z39" s="35"/>
      <c r="AA39" s="349"/>
      <c r="AB39" s="35"/>
      <c r="AC39" s="35"/>
      <c r="AD39" s="35"/>
      <c r="AE39" s="35"/>
      <c r="AF39" s="35"/>
      <c r="AG39" s="35"/>
      <c r="AH39" s="35">
        <v>381.9</v>
      </c>
      <c r="AI39" s="35"/>
      <c r="AJ39" s="35"/>
      <c r="AK39" s="35"/>
      <c r="AL39" s="35"/>
      <c r="AM39" s="35"/>
      <c r="AN39" s="35"/>
      <c r="AO39" s="349"/>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222">
        <f t="shared" si="0"/>
        <v>381.9</v>
      </c>
    </row>
    <row r="40" spans="1:85">
      <c r="A40" s="128" t="s">
        <v>50</v>
      </c>
      <c r="B40" s="35"/>
      <c r="C40" s="35"/>
      <c r="D40" s="35"/>
      <c r="E40" s="35"/>
      <c r="F40" s="35"/>
      <c r="G40" s="35"/>
      <c r="H40" s="35"/>
      <c r="I40" s="35"/>
      <c r="J40" s="35"/>
      <c r="K40" s="35"/>
      <c r="L40" s="35"/>
      <c r="M40" s="35"/>
      <c r="N40" s="35"/>
      <c r="O40" s="35"/>
      <c r="P40" s="35"/>
      <c r="Q40" s="349"/>
      <c r="R40" s="35"/>
      <c r="S40" s="35"/>
      <c r="T40" s="35"/>
      <c r="U40" s="35"/>
      <c r="V40" s="35"/>
      <c r="W40" s="35"/>
      <c r="X40" s="35"/>
      <c r="Y40" s="35"/>
      <c r="Z40" s="35"/>
      <c r="AA40" s="349"/>
      <c r="AB40" s="35"/>
      <c r="AC40" s="35"/>
      <c r="AD40" s="35"/>
      <c r="AE40" s="35"/>
      <c r="AF40" s="35"/>
      <c r="AG40" s="35"/>
      <c r="AH40" s="35"/>
      <c r="AI40" s="35"/>
      <c r="AJ40" s="35"/>
      <c r="AK40" s="35"/>
      <c r="AL40" s="35"/>
      <c r="AM40" s="35"/>
      <c r="AN40" s="35"/>
      <c r="AO40" s="349"/>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222">
        <f t="shared" si="0"/>
        <v>0</v>
      </c>
    </row>
    <row r="41" spans="1:85">
      <c r="A41" s="128" t="s">
        <v>51</v>
      </c>
      <c r="B41" s="35"/>
      <c r="C41" s="35"/>
      <c r="D41" s="35"/>
      <c r="E41" s="35"/>
      <c r="F41" s="35"/>
      <c r="G41" s="35"/>
      <c r="H41" s="35"/>
      <c r="I41" s="35"/>
      <c r="J41" s="35"/>
      <c r="K41" s="35"/>
      <c r="L41" s="35"/>
      <c r="M41" s="35"/>
      <c r="N41" s="35"/>
      <c r="O41" s="35"/>
      <c r="P41" s="35"/>
      <c r="Q41" s="349"/>
      <c r="R41" s="35"/>
      <c r="S41" s="35"/>
      <c r="T41" s="35"/>
      <c r="U41" s="35"/>
      <c r="V41" s="35"/>
      <c r="W41" s="35"/>
      <c r="X41" s="35"/>
      <c r="Y41" s="35"/>
      <c r="Z41" s="35"/>
      <c r="AA41" s="349"/>
      <c r="AB41" s="35"/>
      <c r="AC41" s="35"/>
      <c r="AD41" s="35"/>
      <c r="AE41" s="35"/>
      <c r="AF41" s="35"/>
      <c r="AG41" s="35"/>
      <c r="AH41" s="35"/>
      <c r="AI41" s="35"/>
      <c r="AJ41" s="35"/>
      <c r="AK41" s="35"/>
      <c r="AL41" s="35"/>
      <c r="AM41" s="35"/>
      <c r="AN41" s="35"/>
      <c r="AO41" s="349"/>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222">
        <f t="shared" si="0"/>
        <v>0</v>
      </c>
    </row>
    <row r="42" spans="1:85" s="129" customFormat="1">
      <c r="A42" s="128" t="s">
        <v>406</v>
      </c>
      <c r="B42" s="35">
        <f t="shared" ref="B42:BU42" si="1">SUM(B3:B41)</f>
        <v>3361.8789999999999</v>
      </c>
      <c r="C42" s="35">
        <f t="shared" si="1"/>
        <v>28703.445</v>
      </c>
      <c r="D42" s="35">
        <f t="shared" si="1"/>
        <v>4143.9219999999996</v>
      </c>
      <c r="E42" s="35">
        <f t="shared" si="1"/>
        <v>19886.2</v>
      </c>
      <c r="F42" s="35">
        <f t="shared" si="1"/>
        <v>4586.2</v>
      </c>
      <c r="G42" s="35">
        <f t="shared" si="1"/>
        <v>408.1</v>
      </c>
      <c r="H42" s="35">
        <f t="shared" si="1"/>
        <v>141214.46299999999</v>
      </c>
      <c r="I42" s="35">
        <f t="shared" si="1"/>
        <v>66609.477800000008</v>
      </c>
      <c r="J42" s="35">
        <f t="shared" si="1"/>
        <v>55874.810999999994</v>
      </c>
      <c r="K42" s="35">
        <f t="shared" si="1"/>
        <v>88915.351999999999</v>
      </c>
      <c r="L42" s="35">
        <f t="shared" si="1"/>
        <v>6720.9400000000005</v>
      </c>
      <c r="M42" s="35">
        <f t="shared" si="1"/>
        <v>826</v>
      </c>
      <c r="N42" s="35">
        <f t="shared" si="1"/>
        <v>13169.893</v>
      </c>
      <c r="O42" s="35">
        <f t="shared" si="1"/>
        <v>0</v>
      </c>
      <c r="P42" s="35">
        <f t="shared" si="1"/>
        <v>3911.2</v>
      </c>
      <c r="Q42" s="35">
        <f t="shared" si="1"/>
        <v>58173.002999999997</v>
      </c>
      <c r="R42" s="35">
        <f t="shared" si="1"/>
        <v>54753.44000000001</v>
      </c>
      <c r="S42" s="35">
        <f t="shared" si="1"/>
        <v>654.66099999999994</v>
      </c>
      <c r="T42" s="35">
        <f t="shared" si="1"/>
        <v>1000</v>
      </c>
      <c r="U42" s="35">
        <f t="shared" si="1"/>
        <v>355</v>
      </c>
      <c r="V42" s="35">
        <f t="shared" si="1"/>
        <v>550</v>
      </c>
      <c r="W42" s="35">
        <f t="shared" si="1"/>
        <v>4818.5</v>
      </c>
      <c r="X42" s="35">
        <f t="shared" si="1"/>
        <v>12987.298000000001</v>
      </c>
      <c r="Y42" s="35">
        <f t="shared" si="1"/>
        <v>300</v>
      </c>
      <c r="Z42" s="35">
        <f t="shared" si="1"/>
        <v>40340.818500000001</v>
      </c>
      <c r="AA42" s="35">
        <f t="shared" si="1"/>
        <v>43.8</v>
      </c>
      <c r="AB42" s="35">
        <f t="shared" si="1"/>
        <v>1575</v>
      </c>
      <c r="AC42" s="35">
        <f t="shared" si="1"/>
        <v>15708.3</v>
      </c>
      <c r="AD42" s="35">
        <f t="shared" si="1"/>
        <v>49530.3</v>
      </c>
      <c r="AE42" s="35">
        <f t="shared" si="1"/>
        <v>0</v>
      </c>
      <c r="AF42" s="35">
        <f t="shared" si="1"/>
        <v>40028.102999999996</v>
      </c>
      <c r="AG42" s="35">
        <f t="shared" si="1"/>
        <v>67547.285999999993</v>
      </c>
      <c r="AH42" s="35">
        <f t="shared" si="1"/>
        <v>381.9</v>
      </c>
      <c r="AI42" s="35">
        <f t="shared" si="1"/>
        <v>910</v>
      </c>
      <c r="AJ42" s="35">
        <f t="shared" si="1"/>
        <v>11997.8</v>
      </c>
      <c r="AK42" s="35">
        <f t="shared" si="1"/>
        <v>2804.1</v>
      </c>
      <c r="AL42" s="35">
        <f t="shared" si="1"/>
        <v>6231.6</v>
      </c>
      <c r="AM42" s="35">
        <f t="shared" si="1"/>
        <v>9239.4</v>
      </c>
      <c r="AN42" s="35">
        <f t="shared" si="1"/>
        <v>1500</v>
      </c>
      <c r="AO42" s="35">
        <f t="shared" si="1"/>
        <v>142.03399999999999</v>
      </c>
      <c r="AP42" s="35">
        <f t="shared" si="1"/>
        <v>245.7</v>
      </c>
      <c r="AQ42" s="35">
        <f t="shared" si="1"/>
        <v>4777.92</v>
      </c>
      <c r="AR42" s="35">
        <f t="shared" si="1"/>
        <v>2080.5</v>
      </c>
      <c r="AS42" s="35">
        <f t="shared" si="1"/>
        <v>0</v>
      </c>
      <c r="AT42" s="35">
        <f t="shared" si="1"/>
        <v>189.38399999999999</v>
      </c>
      <c r="AU42" s="35">
        <f t="shared" si="1"/>
        <v>0</v>
      </c>
      <c r="AV42" s="35">
        <f t="shared" si="1"/>
        <v>0</v>
      </c>
      <c r="AW42" s="35">
        <f t="shared" si="1"/>
        <v>0</v>
      </c>
      <c r="AX42" s="35">
        <f t="shared" si="1"/>
        <v>0</v>
      </c>
      <c r="AY42" s="35">
        <f t="shared" si="1"/>
        <v>0</v>
      </c>
      <c r="AZ42" s="35">
        <f t="shared" si="1"/>
        <v>0</v>
      </c>
      <c r="BA42" s="35">
        <f t="shared" si="1"/>
        <v>0</v>
      </c>
      <c r="BB42" s="35">
        <f t="shared" si="1"/>
        <v>0</v>
      </c>
      <c r="BC42" s="35">
        <f t="shared" si="1"/>
        <v>0</v>
      </c>
      <c r="BD42" s="35">
        <f t="shared" si="1"/>
        <v>0</v>
      </c>
      <c r="BE42" s="35">
        <f t="shared" si="1"/>
        <v>0</v>
      </c>
      <c r="BF42" s="35">
        <f t="shared" si="1"/>
        <v>0</v>
      </c>
      <c r="BG42" s="35">
        <f t="shared" si="1"/>
        <v>0</v>
      </c>
      <c r="BH42" s="35">
        <f t="shared" si="1"/>
        <v>0</v>
      </c>
      <c r="BI42" s="35">
        <f t="shared" si="1"/>
        <v>0</v>
      </c>
      <c r="BJ42" s="35">
        <f t="shared" si="1"/>
        <v>0</v>
      </c>
      <c r="BK42" s="35">
        <f t="shared" si="1"/>
        <v>0</v>
      </c>
      <c r="BL42" s="35">
        <f t="shared" si="1"/>
        <v>0</v>
      </c>
      <c r="BM42" s="35">
        <f t="shared" si="1"/>
        <v>0</v>
      </c>
      <c r="BN42" s="35">
        <f t="shared" si="1"/>
        <v>0</v>
      </c>
      <c r="BO42" s="35">
        <f t="shared" si="1"/>
        <v>0</v>
      </c>
      <c r="BP42" s="35">
        <f t="shared" si="1"/>
        <v>0</v>
      </c>
      <c r="BQ42" s="35">
        <f t="shared" si="1"/>
        <v>0</v>
      </c>
      <c r="BR42" s="35">
        <f t="shared" si="1"/>
        <v>0</v>
      </c>
      <c r="BS42" s="35">
        <f t="shared" si="1"/>
        <v>0</v>
      </c>
      <c r="BT42" s="35">
        <f t="shared" si="1"/>
        <v>0</v>
      </c>
      <c r="BU42" s="35">
        <f t="shared" si="1"/>
        <v>0</v>
      </c>
      <c r="BV42" s="35">
        <f t="shared" ref="BV42:CF42" si="2">SUM(BV3:BV41)</f>
        <v>0</v>
      </c>
      <c r="BW42" s="35">
        <f t="shared" si="2"/>
        <v>0</v>
      </c>
      <c r="BX42" s="35">
        <f t="shared" si="2"/>
        <v>0</v>
      </c>
      <c r="BY42" s="35">
        <f t="shared" si="2"/>
        <v>0</v>
      </c>
      <c r="BZ42" s="35">
        <f t="shared" si="2"/>
        <v>0</v>
      </c>
      <c r="CA42" s="35">
        <f t="shared" si="2"/>
        <v>0</v>
      </c>
      <c r="CB42" s="35">
        <f t="shared" si="2"/>
        <v>0</v>
      </c>
      <c r="CC42" s="35">
        <f t="shared" si="2"/>
        <v>0</v>
      </c>
      <c r="CD42" s="35">
        <f t="shared" si="2"/>
        <v>0</v>
      </c>
      <c r="CE42" s="35">
        <f t="shared" si="2"/>
        <v>0</v>
      </c>
      <c r="CF42" s="35">
        <f t="shared" si="2"/>
        <v>827197.73030000005</v>
      </c>
      <c r="CG42" s="133">
        <f>SUM(B42:CE42)</f>
        <v>827197.73030000005</v>
      </c>
    </row>
    <row r="43" spans="1:85">
      <c r="Y43" s="132"/>
      <c r="Z43" s="132"/>
      <c r="AA43" s="434"/>
      <c r="AB43" s="132">
        <f>SUM(B42:AB42)</f>
        <v>613883.40330000001</v>
      </c>
      <c r="AD43" s="133"/>
      <c r="AE43" s="133">
        <f>AC42+AD42+AE42</f>
        <v>65238.600000000006</v>
      </c>
      <c r="AF43" s="133"/>
      <c r="AG43" s="133"/>
      <c r="AH43" s="133"/>
      <c r="AI43" s="133"/>
      <c r="AJ43" s="133"/>
      <c r="AK43" s="133"/>
      <c r="AL43" s="133"/>
      <c r="AM43" s="133"/>
      <c r="AN43" s="134">
        <f>SUM(AF42:AN42)</f>
        <v>140640.18900000001</v>
      </c>
      <c r="AO43" s="433"/>
      <c r="AP43" s="133">
        <f>AP42</f>
        <v>245.7</v>
      </c>
      <c r="AQ43" s="134"/>
      <c r="AR43" s="134"/>
      <c r="AS43" s="134"/>
      <c r="AT43" s="133">
        <f>SUM(AQ42:AT42)</f>
        <v>7047.8040000000001</v>
      </c>
      <c r="AX43" s="133">
        <f>AU42+AV42+AX42</f>
        <v>0</v>
      </c>
      <c r="AY43" s="133"/>
      <c r="BH43" s="133">
        <f>AZ42+BA42+BB42+BC42+BE42+BF42+BG42+BH42</f>
        <v>0</v>
      </c>
      <c r="BL43" s="133">
        <f>BI42+BK42+BL42</f>
        <v>0</v>
      </c>
      <c r="CE43" s="134">
        <f>SUM(BM42:CE42)</f>
        <v>0</v>
      </c>
      <c r="CG43" s="133">
        <f>SUM(B43:CE43)</f>
        <v>827055.69629999995</v>
      </c>
    </row>
  </sheetData>
  <pageMargins left="0.31496062992125984" right="0" top="1.1417322834645669" bottom="0.19685039370078741"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dimension ref="A2:CA43"/>
  <sheetViews>
    <sheetView zoomScaleNormal="100" zoomScaleSheetLayoutView="100" workbookViewId="0">
      <pane xSplit="1" ySplit="2" topLeftCell="BC3" activePane="bottomRight" state="frozen"/>
      <selection pane="topRight" activeCell="B1" sqref="B1"/>
      <selection pane="bottomLeft" activeCell="A3" sqref="A3"/>
      <selection pane="bottomRight" activeCell="CA42" sqref="CA42"/>
    </sheetView>
  </sheetViews>
  <sheetFormatPr defaultRowHeight="12.75"/>
  <cols>
    <col min="1" max="1" width="6" style="130" customWidth="1"/>
    <col min="2" max="2" width="7.42578125" style="131" customWidth="1"/>
    <col min="3" max="3" width="8.5703125" style="131" customWidth="1"/>
    <col min="4" max="4" width="7.7109375" style="131" customWidth="1"/>
    <col min="5" max="5" width="8.5703125" style="131" customWidth="1"/>
    <col min="6" max="6" width="7.42578125" style="131" customWidth="1"/>
    <col min="7" max="7" width="6.140625" style="131" customWidth="1"/>
    <col min="8" max="8" width="9.140625" style="131" customWidth="1"/>
    <col min="9" max="9" width="8.140625" style="131" customWidth="1"/>
    <col min="10" max="10" width="8.42578125" style="131" customWidth="1"/>
    <col min="11" max="11" width="8.28515625" style="131" customWidth="1"/>
    <col min="12" max="12" width="7.42578125" style="131" customWidth="1"/>
    <col min="13" max="13" width="6.28515625" style="131" customWidth="1"/>
    <col min="14" max="14" width="7.28515625" style="131" customWidth="1"/>
    <col min="15" max="16" width="7.42578125" style="131" customWidth="1"/>
    <col min="17" max="18" width="8.42578125" style="131" customWidth="1"/>
    <col min="19" max="19" width="7.140625" style="131" customWidth="1"/>
    <col min="20" max="20" width="6" style="131" customWidth="1"/>
    <col min="21" max="21" width="7.42578125" style="131" customWidth="1"/>
    <col min="22" max="22" width="7.28515625" style="131" customWidth="1"/>
    <col min="23" max="23" width="8.42578125" style="131" customWidth="1"/>
    <col min="24" max="24" width="6" style="131" customWidth="1"/>
    <col min="25" max="25" width="8.28515625" style="131" customWidth="1"/>
    <col min="26" max="26" width="8.28515625" style="36" customWidth="1"/>
    <col min="27" max="27" width="8.42578125" style="36" customWidth="1"/>
    <col min="28" max="28" width="7.85546875" style="36" customWidth="1"/>
    <col min="29" max="30" width="8.140625" style="36" customWidth="1"/>
    <col min="31" max="31" width="6.28515625" style="36" customWidth="1"/>
    <col min="32" max="32" width="6" style="36" customWidth="1"/>
    <col min="33" max="33" width="8.28515625" style="36" customWidth="1"/>
    <col min="34" max="36" width="7.28515625" style="36" customWidth="1"/>
    <col min="37" max="37" width="7.7109375" style="36" customWidth="1"/>
    <col min="38" max="38" width="6" style="36" customWidth="1"/>
    <col min="39" max="39" width="7.7109375" style="36" customWidth="1"/>
    <col min="40" max="40" width="7.85546875" style="36" customWidth="1"/>
    <col min="41" max="41" width="6" style="36" customWidth="1"/>
    <col min="42" max="42" width="7" style="36" bestFit="1" customWidth="1"/>
    <col min="43" max="43" width="5.28515625" style="36" customWidth="1"/>
    <col min="44" max="45" width="7.140625" style="36" customWidth="1"/>
    <col min="46" max="46" width="4.42578125" style="36" customWidth="1"/>
    <col min="47" max="47" width="7.42578125" style="36" customWidth="1"/>
    <col min="48" max="48" width="8.85546875" style="36" customWidth="1"/>
    <col min="49" max="49" width="7.42578125" style="36" customWidth="1"/>
    <col min="50" max="50" width="6.85546875" style="36" customWidth="1"/>
    <col min="51" max="51" width="6" style="36" customWidth="1"/>
    <col min="52" max="52" width="8.140625" style="36" customWidth="1"/>
    <col min="53" max="53" width="6.42578125" style="36" customWidth="1"/>
    <col min="54" max="54" width="8.5703125" style="36" customWidth="1"/>
    <col min="55" max="55" width="9.5703125" style="36" customWidth="1"/>
    <col min="56" max="56" width="8.5703125" style="36" customWidth="1"/>
    <col min="57" max="57" width="4.42578125" style="36" customWidth="1"/>
    <col min="58" max="58" width="7.42578125" style="36" customWidth="1"/>
    <col min="59" max="59" width="7.85546875" style="36" customWidth="1"/>
    <col min="60" max="60" width="6.28515625" style="36" customWidth="1"/>
    <col min="61" max="61" width="9.140625" style="36" customWidth="1"/>
    <col min="62" max="62" width="8.140625" style="36" customWidth="1"/>
    <col min="63" max="63" width="6.140625" style="36" customWidth="1"/>
    <col min="64" max="64" width="8.85546875" style="36" customWidth="1"/>
    <col min="65" max="65" width="4" style="36" customWidth="1"/>
    <col min="66" max="66" width="4.42578125" style="36" customWidth="1"/>
    <col min="67" max="67" width="8.42578125" style="36" customWidth="1"/>
    <col min="68" max="68" width="6.42578125" style="36" customWidth="1"/>
    <col min="69" max="69" width="7.42578125" style="36" customWidth="1"/>
    <col min="70" max="70" width="6.140625" style="36" customWidth="1"/>
    <col min="71" max="71" width="8.42578125" style="36" customWidth="1"/>
    <col min="72" max="73" width="7.42578125" style="36" customWidth="1"/>
    <col min="74" max="74" width="4.42578125" style="36" customWidth="1"/>
    <col min="75" max="75" width="8.5703125" style="36" customWidth="1"/>
    <col min="76" max="76" width="8.42578125" style="36" customWidth="1"/>
    <col min="77" max="77" width="7.42578125" style="36" customWidth="1"/>
    <col min="78" max="78" width="10.5703125" style="36" customWidth="1"/>
    <col min="79" max="79" width="10.140625" style="36" bestFit="1" customWidth="1"/>
    <col min="80" max="16384" width="9.140625" style="36"/>
  </cols>
  <sheetData>
    <row r="2" spans="1:78" s="127" customFormat="1">
      <c r="A2" s="126"/>
      <c r="B2" s="379" t="s">
        <v>34</v>
      </c>
      <c r="C2" s="379" t="s">
        <v>393</v>
      </c>
      <c r="D2" s="379" t="s">
        <v>39</v>
      </c>
      <c r="E2" s="379" t="s">
        <v>602</v>
      </c>
      <c r="F2" s="379" t="s">
        <v>388</v>
      </c>
      <c r="G2" s="379" t="s">
        <v>42</v>
      </c>
      <c r="H2" s="379" t="s">
        <v>746</v>
      </c>
      <c r="I2" s="379" t="s">
        <v>386</v>
      </c>
      <c r="J2" s="379" t="s">
        <v>568</v>
      </c>
      <c r="K2" s="379" t="s">
        <v>612</v>
      </c>
      <c r="L2" s="379" t="s">
        <v>574</v>
      </c>
      <c r="M2" s="379" t="s">
        <v>44</v>
      </c>
      <c r="N2" s="379" t="s">
        <v>575</v>
      </c>
      <c r="O2" s="379" t="s">
        <v>854</v>
      </c>
      <c r="P2" s="379" t="s">
        <v>739</v>
      </c>
      <c r="Q2" s="379" t="s">
        <v>567</v>
      </c>
      <c r="R2" s="379" t="s">
        <v>1040</v>
      </c>
      <c r="S2" s="379" t="s">
        <v>744</v>
      </c>
      <c r="T2" s="379" t="s">
        <v>745</v>
      </c>
      <c r="U2" s="379" t="s">
        <v>623</v>
      </c>
      <c r="V2" s="379" t="s">
        <v>627</v>
      </c>
      <c r="W2" s="379" t="s">
        <v>749</v>
      </c>
      <c r="X2" s="379" t="s">
        <v>45</v>
      </c>
      <c r="Y2" s="379" t="s">
        <v>747</v>
      </c>
      <c r="Z2" s="379" t="s">
        <v>48</v>
      </c>
      <c r="AA2" s="379" t="s">
        <v>748</v>
      </c>
      <c r="AB2" s="379" t="s">
        <v>736</v>
      </c>
      <c r="AC2" s="379" t="s">
        <v>564</v>
      </c>
      <c r="AD2" s="379" t="s">
        <v>569</v>
      </c>
      <c r="AE2" s="379" t="s">
        <v>773</v>
      </c>
      <c r="AF2" s="379" t="s">
        <v>565</v>
      </c>
      <c r="AG2" s="379" t="s">
        <v>740</v>
      </c>
      <c r="AH2" s="379" t="s">
        <v>737</v>
      </c>
      <c r="AI2" s="396" t="s">
        <v>1116</v>
      </c>
      <c r="AJ2" s="379" t="s">
        <v>735</v>
      </c>
      <c r="AK2" s="379" t="s">
        <v>738</v>
      </c>
      <c r="AL2" s="379" t="s">
        <v>566</v>
      </c>
      <c r="AM2" s="379" t="s">
        <v>52</v>
      </c>
      <c r="AN2" s="379" t="s">
        <v>741</v>
      </c>
      <c r="AO2" s="379" t="s">
        <v>742</v>
      </c>
      <c r="AP2" s="379" t="s">
        <v>743</v>
      </c>
      <c r="AQ2" s="379" t="s">
        <v>751</v>
      </c>
      <c r="AR2" s="379" t="s">
        <v>759</v>
      </c>
      <c r="AS2" s="379" t="s">
        <v>754</v>
      </c>
      <c r="AT2" s="379" t="s">
        <v>857</v>
      </c>
      <c r="AU2" s="379" t="s">
        <v>576</v>
      </c>
      <c r="AV2" s="379" t="s">
        <v>750</v>
      </c>
      <c r="AW2" s="379" t="s">
        <v>752</v>
      </c>
      <c r="AX2" s="379" t="s">
        <v>755</v>
      </c>
      <c r="AY2" s="379" t="s">
        <v>910</v>
      </c>
      <c r="AZ2" s="379" t="s">
        <v>758</v>
      </c>
      <c r="BA2" s="379" t="s">
        <v>753</v>
      </c>
      <c r="BB2" s="379" t="s">
        <v>909</v>
      </c>
      <c r="BC2" s="379" t="s">
        <v>756</v>
      </c>
      <c r="BD2" s="379" t="s">
        <v>772</v>
      </c>
      <c r="BE2" s="379" t="s">
        <v>855</v>
      </c>
      <c r="BF2" s="379" t="s">
        <v>761</v>
      </c>
      <c r="BG2" s="379" t="s">
        <v>769</v>
      </c>
      <c r="BH2" s="379" t="s">
        <v>760</v>
      </c>
      <c r="BI2" s="379" t="s">
        <v>767</v>
      </c>
      <c r="BJ2" s="379" t="s">
        <v>764</v>
      </c>
      <c r="BK2" s="379" t="s">
        <v>676</v>
      </c>
      <c r="BL2" s="379" t="s">
        <v>677</v>
      </c>
      <c r="BM2" s="379" t="s">
        <v>680</v>
      </c>
      <c r="BN2" s="379" t="s">
        <v>762</v>
      </c>
      <c r="BO2" s="379" t="s">
        <v>765</v>
      </c>
      <c r="BP2" s="379" t="s">
        <v>911</v>
      </c>
      <c r="BQ2" s="379" t="s">
        <v>771</v>
      </c>
      <c r="BR2" s="379" t="s">
        <v>687</v>
      </c>
      <c r="BS2" s="379" t="s">
        <v>768</v>
      </c>
      <c r="BT2" s="379" t="s">
        <v>856</v>
      </c>
      <c r="BU2" s="379" t="s">
        <v>949</v>
      </c>
      <c r="BV2" s="379" t="s">
        <v>763</v>
      </c>
      <c r="BW2" s="396" t="s">
        <v>1117</v>
      </c>
      <c r="BX2" s="379" t="s">
        <v>702</v>
      </c>
      <c r="BY2" s="379" t="s">
        <v>770</v>
      </c>
      <c r="BZ2" s="380" t="s">
        <v>406</v>
      </c>
    </row>
    <row r="3" spans="1:78">
      <c r="A3" s="128" t="s">
        <v>379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f>548.2</f>
        <v>548.20000000000005</v>
      </c>
      <c r="AD3" s="35">
        <v>1822</v>
      </c>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222">
        <f t="shared" ref="BZ3:BZ41" si="0">SUM(B3:BY3)</f>
        <v>2370.1999999999998</v>
      </c>
    </row>
    <row r="4" spans="1:78">
      <c r="A4" s="128" t="s">
        <v>380</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f>628.5+432.655</f>
        <v>1061.155</v>
      </c>
      <c r="AD4" s="35">
        <v>1393.2449999999999</v>
      </c>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222">
        <f t="shared" si="0"/>
        <v>2454.3999999999996</v>
      </c>
    </row>
    <row r="5" spans="1:78">
      <c r="A5" s="128" t="s">
        <v>381</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f>151.3+22489.439</f>
        <v>22640.738999999998</v>
      </c>
      <c r="AD5" s="35">
        <v>28048.35</v>
      </c>
      <c r="AE5" s="35"/>
      <c r="AF5" s="35">
        <v>910</v>
      </c>
      <c r="AG5" s="35"/>
      <c r="AH5" s="35"/>
      <c r="AI5" s="35"/>
      <c r="AJ5" s="35"/>
      <c r="AK5" s="35"/>
      <c r="AL5" s="35"/>
      <c r="AM5" s="35"/>
      <c r="AN5" s="35"/>
      <c r="AO5" s="35"/>
      <c r="AP5" s="35"/>
      <c r="AQ5" s="35"/>
      <c r="AR5" s="35"/>
      <c r="AS5" s="35"/>
      <c r="AT5" s="35"/>
      <c r="AU5" s="35">
        <v>3746.6480000000001</v>
      </c>
      <c r="AV5" s="35">
        <v>8694.4519999999993</v>
      </c>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222">
        <f t="shared" si="0"/>
        <v>64040.188999999991</v>
      </c>
    </row>
    <row r="6" spans="1:78">
      <c r="A6" s="128" t="s">
        <v>445</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v>18.2</v>
      </c>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222">
        <f t="shared" si="0"/>
        <v>18.2</v>
      </c>
    </row>
    <row r="7" spans="1:78">
      <c r="A7" s="128" t="s">
        <v>382</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f>5594.195+60+245.891</f>
        <v>5900.0859999999993</v>
      </c>
      <c r="AD7" s="35">
        <f>13964.005+814.209</f>
        <v>14778.214</v>
      </c>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222">
        <f t="shared" si="0"/>
        <v>20678.3</v>
      </c>
    </row>
    <row r="8" spans="1:78">
      <c r="A8" s="128" t="s">
        <v>453</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222">
        <f t="shared" si="0"/>
        <v>0</v>
      </c>
    </row>
    <row r="9" spans="1:78">
      <c r="A9" s="128" t="s">
        <v>383</v>
      </c>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v>1000</v>
      </c>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222">
        <f t="shared" si="0"/>
        <v>1000</v>
      </c>
    </row>
    <row r="10" spans="1:78">
      <c r="A10" s="128" t="s">
        <v>384</v>
      </c>
      <c r="B10" s="35">
        <v>3153.1</v>
      </c>
      <c r="C10" s="35"/>
      <c r="D10" s="35"/>
      <c r="E10" s="35"/>
      <c r="F10" s="35"/>
      <c r="G10" s="35"/>
      <c r="H10" s="35"/>
      <c r="I10" s="35"/>
      <c r="J10" s="35"/>
      <c r="K10" s="35"/>
      <c r="L10" s="35"/>
      <c r="M10" s="35"/>
      <c r="N10" s="35"/>
      <c r="O10" s="35"/>
      <c r="P10" s="35">
        <v>2450.1</v>
      </c>
      <c r="Q10" s="35"/>
      <c r="R10" s="35"/>
      <c r="S10" s="35"/>
      <c r="T10" s="35"/>
      <c r="U10" s="35"/>
      <c r="V10" s="35"/>
      <c r="W10" s="35"/>
      <c r="X10" s="35"/>
      <c r="Y10" s="35"/>
      <c r="Z10" s="35"/>
      <c r="AA10" s="35"/>
      <c r="AB10" s="35"/>
      <c r="AC10" s="35"/>
      <c r="AD10" s="35"/>
      <c r="AE10" s="35"/>
      <c r="AF10" s="35"/>
      <c r="AG10" s="35">
        <f>2820.9+8854.7+20</f>
        <v>11695.6</v>
      </c>
      <c r="AH10" s="35"/>
      <c r="AI10" s="35"/>
      <c r="AJ10" s="35"/>
      <c r="AK10" s="35"/>
      <c r="AL10" s="35"/>
      <c r="AM10" s="35"/>
      <c r="AN10" s="35">
        <v>1954.5</v>
      </c>
      <c r="AO10" s="35">
        <f>127.034+15</f>
        <v>142.03399999999999</v>
      </c>
      <c r="AP10" s="35">
        <f>189.384</f>
        <v>189.38399999999999</v>
      </c>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222">
        <f t="shared" si="0"/>
        <v>19584.717999999997</v>
      </c>
    </row>
    <row r="11" spans="1:78">
      <c r="A11" s="128" t="s">
        <v>407</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222">
        <f t="shared" si="0"/>
        <v>0</v>
      </c>
    </row>
    <row r="12" spans="1:78">
      <c r="A12" s="128" t="s">
        <v>387</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222">
        <f t="shared" si="0"/>
        <v>0</v>
      </c>
    </row>
    <row r="13" spans="1:78">
      <c r="A13" s="128" t="s">
        <v>408</v>
      </c>
      <c r="B13" s="35"/>
      <c r="C13" s="35"/>
      <c r="D13" s="35"/>
      <c r="E13" s="35"/>
      <c r="F13" s="35"/>
      <c r="G13" s="35">
        <f>150+158.1</f>
        <v>308.10000000000002</v>
      </c>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222">
        <f t="shared" si="0"/>
        <v>308.10000000000002</v>
      </c>
    </row>
    <row r="14" spans="1:78">
      <c r="A14" s="128" t="s">
        <v>410</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v>50.863</v>
      </c>
      <c r="AV14" s="35">
        <v>161.137</v>
      </c>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222">
        <f t="shared" si="0"/>
        <v>212</v>
      </c>
    </row>
    <row r="15" spans="1:78">
      <c r="A15" s="128" t="s">
        <v>389</v>
      </c>
      <c r="B15" s="35"/>
      <c r="C15" s="35"/>
      <c r="D15" s="35"/>
      <c r="E15" s="35"/>
      <c r="F15" s="35"/>
      <c r="G15" s="35"/>
      <c r="H15" s="35"/>
      <c r="I15" s="35"/>
      <c r="J15" s="35"/>
      <c r="K15" s="35"/>
      <c r="L15" s="35"/>
      <c r="M15" s="35"/>
      <c r="N15" s="35"/>
      <c r="O15" s="35"/>
      <c r="P15" s="35"/>
      <c r="Q15" s="35"/>
      <c r="R15" s="35"/>
      <c r="S15" s="35"/>
      <c r="T15" s="35">
        <v>355</v>
      </c>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f>579.104+12.94</f>
        <v>592.0440000000001</v>
      </c>
      <c r="AV15" s="35">
        <f>1339.896+40.8</f>
        <v>1380.6959999999999</v>
      </c>
      <c r="AW15" s="35">
        <f>74.9+365.7+7609.5+400+1000+310.7</f>
        <v>9760.8000000000011</v>
      </c>
      <c r="AX15" s="35"/>
      <c r="AY15" s="35"/>
      <c r="AZ15" s="35"/>
      <c r="BA15" s="35">
        <v>641.79999999999995</v>
      </c>
      <c r="BB15" s="35"/>
      <c r="BC15" s="35"/>
      <c r="BD15" s="35"/>
      <c r="BE15" s="35"/>
      <c r="BF15" s="35"/>
      <c r="BG15" s="35"/>
      <c r="BH15" s="35"/>
      <c r="BI15" s="35"/>
      <c r="BJ15" s="35"/>
      <c r="BK15" s="35"/>
      <c r="BL15" s="35"/>
      <c r="BM15" s="35"/>
      <c r="BN15" s="35"/>
      <c r="BO15" s="35"/>
      <c r="BP15" s="35"/>
      <c r="BQ15" s="35"/>
      <c r="BR15" s="35"/>
      <c r="BS15" s="35"/>
      <c r="BT15" s="35"/>
      <c r="BU15" s="35"/>
      <c r="BV15" s="35"/>
      <c r="BW15" s="35">
        <v>43.8</v>
      </c>
      <c r="BX15" s="35"/>
      <c r="BY15" s="35"/>
      <c r="BZ15" s="222">
        <f t="shared" si="0"/>
        <v>12774.14</v>
      </c>
    </row>
    <row r="16" spans="1:78">
      <c r="A16" s="128" t="s">
        <v>390</v>
      </c>
      <c r="B16" s="35"/>
      <c r="C16" s="35"/>
      <c r="D16" s="35"/>
      <c r="E16" s="35"/>
      <c r="F16" s="35"/>
      <c r="G16" s="35"/>
      <c r="H16" s="35"/>
      <c r="I16" s="35"/>
      <c r="J16" s="35"/>
      <c r="K16" s="35"/>
      <c r="L16" s="35"/>
      <c r="M16" s="35"/>
      <c r="N16" s="35"/>
      <c r="O16" s="35"/>
      <c r="P16" s="35"/>
      <c r="Q16" s="35"/>
      <c r="R16" s="35"/>
      <c r="S16" s="35">
        <v>500</v>
      </c>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222">
        <f t="shared" si="0"/>
        <v>500</v>
      </c>
    </row>
    <row r="17" spans="1:78">
      <c r="A17" s="128" t="s">
        <v>391</v>
      </c>
      <c r="B17" s="35"/>
      <c r="C17" s="35"/>
      <c r="D17" s="35"/>
      <c r="E17" s="35">
        <f>3216.2</f>
        <v>3216.2</v>
      </c>
      <c r="F17" s="35">
        <v>3356.2</v>
      </c>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v>12000</v>
      </c>
      <c r="BM17" s="35"/>
      <c r="BN17" s="35"/>
      <c r="BO17" s="35"/>
      <c r="BP17" s="35"/>
      <c r="BQ17" s="35"/>
      <c r="BR17" s="35"/>
      <c r="BS17" s="35"/>
      <c r="BT17" s="35"/>
      <c r="BU17" s="35"/>
      <c r="BV17" s="35"/>
      <c r="BW17" s="35"/>
      <c r="BX17" s="35"/>
      <c r="BY17" s="35"/>
      <c r="BZ17" s="222">
        <f t="shared" si="0"/>
        <v>18572.400000000001</v>
      </c>
    </row>
    <row r="18" spans="1:78">
      <c r="A18" s="128" t="s">
        <v>392</v>
      </c>
      <c r="B18" s="35"/>
      <c r="C18" s="35"/>
      <c r="D18" s="35">
        <v>3588.3</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v>39514</v>
      </c>
      <c r="BK18" s="35"/>
      <c r="BL18" s="35"/>
      <c r="BM18" s="35"/>
      <c r="BN18" s="35"/>
      <c r="BO18" s="35"/>
      <c r="BP18" s="35"/>
      <c r="BQ18" s="35"/>
      <c r="BR18" s="35"/>
      <c r="BS18" s="35"/>
      <c r="BT18" s="35"/>
      <c r="BU18" s="35"/>
      <c r="BV18" s="35"/>
      <c r="BW18" s="35"/>
      <c r="BX18" s="35"/>
      <c r="BY18" s="35"/>
      <c r="BZ18" s="222">
        <f t="shared" si="0"/>
        <v>43102.3</v>
      </c>
    </row>
    <row r="19" spans="1:78">
      <c r="A19" s="128" t="s">
        <v>766</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222">
        <f t="shared" si="0"/>
        <v>0</v>
      </c>
    </row>
    <row r="20" spans="1:78">
      <c r="A20" s="128" t="s">
        <v>394</v>
      </c>
      <c r="B20" s="35"/>
      <c r="C20" s="35"/>
      <c r="D20" s="35"/>
      <c r="E20" s="35"/>
      <c r="F20" s="35"/>
      <c r="G20" s="35"/>
      <c r="H20" s="35"/>
      <c r="I20" s="35"/>
      <c r="J20" s="35"/>
      <c r="K20" s="35"/>
      <c r="L20" s="35"/>
      <c r="M20" s="35"/>
      <c r="N20" s="35"/>
      <c r="O20" s="35"/>
      <c r="P20" s="35"/>
      <c r="Q20" s="35"/>
      <c r="R20" s="35"/>
      <c r="S20" s="35"/>
      <c r="T20" s="35"/>
      <c r="U20" s="35">
        <v>550</v>
      </c>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222">
        <f t="shared" si="0"/>
        <v>550</v>
      </c>
    </row>
    <row r="21" spans="1:78">
      <c r="A21" s="128" t="s">
        <v>409</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v>128</v>
      </c>
      <c r="BL21" s="35"/>
      <c r="BM21" s="35"/>
      <c r="BN21" s="35"/>
      <c r="BO21" s="35"/>
      <c r="BP21" s="35"/>
      <c r="BQ21" s="35"/>
      <c r="BR21" s="35"/>
      <c r="BS21" s="35"/>
      <c r="BT21" s="35"/>
      <c r="BU21" s="35"/>
      <c r="BV21" s="35"/>
      <c r="BW21" s="35"/>
      <c r="BX21" s="35"/>
      <c r="BY21" s="35"/>
      <c r="BZ21" s="222">
        <f t="shared" si="0"/>
        <v>128</v>
      </c>
    </row>
    <row r="22" spans="1:78">
      <c r="A22" s="128" t="s">
        <v>395</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f>29199.7+11000</f>
        <v>40199.699999999997</v>
      </c>
      <c r="BJ22" s="35"/>
      <c r="BK22" s="35"/>
      <c r="BL22" s="35"/>
      <c r="BM22" s="35"/>
      <c r="BN22" s="35"/>
      <c r="BO22" s="35">
        <v>68749.2</v>
      </c>
      <c r="BP22" s="35"/>
      <c r="BQ22" s="35"/>
      <c r="BR22" s="35"/>
      <c r="BS22" s="35"/>
      <c r="BT22" s="35"/>
      <c r="BU22" s="35"/>
      <c r="BV22" s="35"/>
      <c r="BW22" s="35"/>
      <c r="BX22" s="35"/>
      <c r="BY22" s="35"/>
      <c r="BZ22" s="222">
        <f t="shared" si="0"/>
        <v>108948.9</v>
      </c>
    </row>
    <row r="23" spans="1:78">
      <c r="A23" s="128" t="s">
        <v>396</v>
      </c>
      <c r="B23" s="35"/>
      <c r="C23" s="35"/>
      <c r="D23" s="35"/>
      <c r="E23" s="35"/>
      <c r="F23" s="35"/>
      <c r="G23" s="35"/>
      <c r="H23" s="35"/>
      <c r="I23" s="35"/>
      <c r="J23" s="35"/>
      <c r="K23" s="35"/>
      <c r="L23" s="35"/>
      <c r="M23" s="35"/>
      <c r="N23" s="35">
        <v>1602.2</v>
      </c>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v>14859.5</v>
      </c>
      <c r="BP23" s="35"/>
      <c r="BQ23" s="35"/>
      <c r="BR23" s="35"/>
      <c r="BS23" s="35"/>
      <c r="BT23" s="35"/>
      <c r="BU23" s="35"/>
      <c r="BV23" s="35"/>
      <c r="BW23" s="35"/>
      <c r="BX23" s="35"/>
      <c r="BY23" s="35"/>
      <c r="BZ23" s="222">
        <f t="shared" si="0"/>
        <v>16461.7</v>
      </c>
    </row>
    <row r="24" spans="1:78" hidden="1">
      <c r="A24" s="128" t="s">
        <v>505</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222">
        <f t="shared" si="0"/>
        <v>0</v>
      </c>
    </row>
    <row r="25" spans="1:78">
      <c r="A25" s="128" t="s">
        <v>397</v>
      </c>
      <c r="B25" s="35"/>
      <c r="C25" s="35"/>
      <c r="D25" s="35"/>
      <c r="E25" s="35"/>
      <c r="F25" s="35"/>
      <c r="G25" s="35"/>
      <c r="H25" s="35">
        <v>75325</v>
      </c>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v>93.744</v>
      </c>
      <c r="AY25" s="35"/>
      <c r="AZ25" s="35"/>
      <c r="BA25" s="35"/>
      <c r="BB25" s="35">
        <f>434.5+445.6</f>
        <v>880.1</v>
      </c>
      <c r="BC25" s="35">
        <v>108359.3</v>
      </c>
      <c r="BD25" s="35"/>
      <c r="BE25" s="35"/>
      <c r="BF25" s="35"/>
      <c r="BG25" s="35"/>
      <c r="BH25" s="35"/>
      <c r="BI25" s="35"/>
      <c r="BJ25" s="35"/>
      <c r="BK25" s="35"/>
      <c r="BL25" s="35"/>
      <c r="BM25" s="35"/>
      <c r="BN25" s="35"/>
      <c r="BO25" s="35"/>
      <c r="BP25" s="35"/>
      <c r="BQ25" s="35"/>
      <c r="BR25" s="35"/>
      <c r="BS25" s="35"/>
      <c r="BT25" s="35"/>
      <c r="BU25" s="35"/>
      <c r="BV25" s="35"/>
      <c r="BW25" s="35"/>
      <c r="BX25" s="35"/>
      <c r="BY25" s="35"/>
      <c r="BZ25" s="222">
        <f t="shared" si="0"/>
        <v>184658.14400000003</v>
      </c>
    </row>
    <row r="26" spans="1:78">
      <c r="A26" s="128" t="s">
        <v>398</v>
      </c>
      <c r="B26" s="35"/>
      <c r="C26" s="35"/>
      <c r="D26" s="35"/>
      <c r="E26" s="35"/>
      <c r="F26" s="35"/>
      <c r="G26" s="35"/>
      <c r="H26" s="35">
        <v>32241.5</v>
      </c>
      <c r="I26" s="35">
        <f>5.2+22297.545+1661.4+7890.9+699.7+3906.7+857.8</f>
        <v>37319.245000000003</v>
      </c>
      <c r="J26" s="35">
        <f>38114.755+80+1305.5+7890.9+1004.3+3906.7</f>
        <v>52302.154999999999</v>
      </c>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v>969.00800000000004</v>
      </c>
      <c r="AY26" s="35"/>
      <c r="AZ26" s="35">
        <v>1603</v>
      </c>
      <c r="BA26" s="35"/>
      <c r="BB26" s="35">
        <v>14508.8</v>
      </c>
      <c r="BC26" s="35">
        <f>452059.9+37618.6</f>
        <v>489678.5</v>
      </c>
      <c r="BD26" s="35"/>
      <c r="BE26" s="35"/>
      <c r="BF26" s="35"/>
      <c r="BG26" s="35"/>
      <c r="BH26" s="35"/>
      <c r="BI26" s="35"/>
      <c r="BJ26" s="35"/>
      <c r="BK26" s="35"/>
      <c r="BL26" s="35"/>
      <c r="BM26" s="35"/>
      <c r="BN26" s="35"/>
      <c r="BO26" s="35"/>
      <c r="BP26" s="35"/>
      <c r="BQ26" s="35"/>
      <c r="BR26" s="35"/>
      <c r="BS26" s="35"/>
      <c r="BT26" s="35"/>
      <c r="BU26" s="35"/>
      <c r="BV26" s="35"/>
      <c r="BW26" s="35"/>
      <c r="BX26" s="35"/>
      <c r="BY26" s="35"/>
      <c r="BZ26" s="222">
        <f t="shared" si="0"/>
        <v>628622.20799999998</v>
      </c>
    </row>
    <row r="27" spans="1:78">
      <c r="A27" s="128" t="s">
        <v>454</v>
      </c>
      <c r="B27" s="35"/>
      <c r="C27" s="35"/>
      <c r="D27" s="35"/>
      <c r="E27" s="35"/>
      <c r="F27" s="35"/>
      <c r="G27" s="35"/>
      <c r="H27" s="35"/>
      <c r="I27" s="35"/>
      <c r="J27" s="35"/>
      <c r="K27" s="35">
        <f>44291.8+2430.9</f>
        <v>46722.700000000004</v>
      </c>
      <c r="L27" s="35"/>
      <c r="M27" s="35">
        <v>506.6</v>
      </c>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v>31.248000000000001</v>
      </c>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222">
        <f t="shared" si="0"/>
        <v>47260.548000000003</v>
      </c>
    </row>
    <row r="28" spans="1:78">
      <c r="A28" s="128" t="s">
        <v>1115</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v>3570</v>
      </c>
      <c r="AJ28" s="35"/>
      <c r="AK28" s="35"/>
      <c r="AL28" s="35"/>
      <c r="AM28" s="35"/>
      <c r="AN28" s="35"/>
      <c r="AO28" s="35"/>
      <c r="AP28" s="35"/>
      <c r="AQ28" s="35"/>
      <c r="AR28" s="35"/>
      <c r="AS28" s="35"/>
      <c r="AT28" s="35"/>
      <c r="AU28" s="35">
        <v>40</v>
      </c>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222">
        <f t="shared" si="0"/>
        <v>3610</v>
      </c>
    </row>
    <row r="29" spans="1:78">
      <c r="A29" s="128" t="s">
        <v>399</v>
      </c>
      <c r="B29" s="35"/>
      <c r="C29" s="35"/>
      <c r="D29" s="35"/>
      <c r="E29" s="35"/>
      <c r="F29" s="35"/>
      <c r="G29" s="35"/>
      <c r="H29" s="35"/>
      <c r="I29" s="35"/>
      <c r="J29" s="35"/>
      <c r="K29" s="35"/>
      <c r="L29" s="35">
        <f>2937.5+4729.3</f>
        <v>7666.8</v>
      </c>
      <c r="M29" s="35"/>
      <c r="N29" s="35"/>
      <c r="O29" s="35"/>
      <c r="P29" s="35"/>
      <c r="Q29" s="35"/>
      <c r="R29" s="35"/>
      <c r="S29" s="35"/>
      <c r="T29" s="35"/>
      <c r="U29" s="35"/>
      <c r="V29" s="35"/>
      <c r="W29" s="35"/>
      <c r="X29" s="35">
        <v>300</v>
      </c>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222">
        <f t="shared" si="0"/>
        <v>7966.8</v>
      </c>
    </row>
    <row r="30" spans="1:78">
      <c r="A30" s="128" t="s">
        <v>400</v>
      </c>
      <c r="B30" s="35"/>
      <c r="C30" s="35"/>
      <c r="D30" s="35"/>
      <c r="E30" s="35"/>
      <c r="F30" s="35"/>
      <c r="G30" s="35"/>
      <c r="H30" s="35"/>
      <c r="I30" s="35"/>
      <c r="J30" s="35"/>
      <c r="K30" s="35"/>
      <c r="L30" s="35"/>
      <c r="M30" s="35">
        <v>319.39999999999998</v>
      </c>
      <c r="N30" s="35"/>
      <c r="O30" s="35"/>
      <c r="P30" s="35"/>
      <c r="Q30" s="35"/>
      <c r="R30" s="35"/>
      <c r="S30" s="35"/>
      <c r="T30" s="35"/>
      <c r="U30" s="35"/>
      <c r="V30" s="35"/>
      <c r="W30" s="35"/>
      <c r="X30" s="35"/>
      <c r="Y30" s="35"/>
      <c r="Z30" s="35"/>
      <c r="AA30" s="35"/>
      <c r="AB30" s="35"/>
      <c r="AC30" s="35">
        <v>5440.4</v>
      </c>
      <c r="AD30" s="35">
        <v>11923.6</v>
      </c>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222">
        <f t="shared" si="0"/>
        <v>17683.400000000001</v>
      </c>
    </row>
    <row r="31" spans="1:78" s="129" customFormat="1">
      <c r="A31" s="128" t="s">
        <v>401</v>
      </c>
      <c r="B31" s="35"/>
      <c r="C31" s="35"/>
      <c r="D31" s="35"/>
      <c r="E31" s="35"/>
      <c r="F31" s="35"/>
      <c r="G31" s="35"/>
      <c r="H31" s="35"/>
      <c r="I31" s="35"/>
      <c r="J31" s="35"/>
      <c r="K31" s="35"/>
      <c r="L31" s="35"/>
      <c r="M31" s="35"/>
      <c r="N31" s="35"/>
      <c r="O31" s="35"/>
      <c r="P31" s="35"/>
      <c r="Q31" s="35">
        <f>2634.6+1818.4</f>
        <v>4453</v>
      </c>
      <c r="R31" s="35"/>
      <c r="S31" s="35"/>
      <c r="T31" s="35"/>
      <c r="U31" s="35"/>
      <c r="V31" s="35"/>
      <c r="W31" s="35"/>
      <c r="X31" s="35"/>
      <c r="Y31" s="35">
        <v>9459.4</v>
      </c>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222">
        <f t="shared" si="0"/>
        <v>13912.4</v>
      </c>
    </row>
    <row r="32" spans="1:78">
      <c r="A32" s="128" t="s">
        <v>402</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f>3132.4+50.2</f>
        <v>3182.6</v>
      </c>
      <c r="AD32" s="35">
        <v>6880.9</v>
      </c>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222">
        <f t="shared" si="0"/>
        <v>10063.5</v>
      </c>
    </row>
    <row r="33" spans="1:79">
      <c r="A33" s="128" t="s">
        <v>403</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f>200+300+2497.5+1500</f>
        <v>4497.5</v>
      </c>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222">
        <f t="shared" si="0"/>
        <v>4497.5</v>
      </c>
    </row>
    <row r="34" spans="1:79">
      <c r="A34" s="128" t="s">
        <v>385</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v>1043.5</v>
      </c>
      <c r="AS34" s="35"/>
      <c r="AT34" s="35"/>
      <c r="AU34" s="35"/>
      <c r="AV34" s="35"/>
      <c r="AW34" s="35"/>
      <c r="AX34" s="35"/>
      <c r="AY34" s="35"/>
      <c r="AZ34" s="35">
        <f>115+25822+15288+84</f>
        <v>41309</v>
      </c>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222">
        <f t="shared" si="0"/>
        <v>42352.5</v>
      </c>
    </row>
    <row r="35" spans="1:79">
      <c r="A35" s="128" t="s">
        <v>393</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v>2.8</v>
      </c>
      <c r="AN35" s="35"/>
      <c r="AO35" s="35"/>
      <c r="AP35" s="35"/>
      <c r="AQ35" s="35"/>
      <c r="AR35" s="35"/>
      <c r="AS35" s="35"/>
      <c r="AT35" s="35"/>
      <c r="AU35" s="35">
        <f>1.8+5.855</f>
        <v>7.6550000000000002</v>
      </c>
      <c r="AV35" s="35">
        <v>13.545</v>
      </c>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222">
        <f t="shared" si="0"/>
        <v>24</v>
      </c>
    </row>
    <row r="36" spans="1:79">
      <c r="A36" s="128" t="s">
        <v>378</v>
      </c>
      <c r="B36" s="35"/>
      <c r="C36" s="35"/>
      <c r="D36" s="35"/>
      <c r="E36" s="35"/>
      <c r="F36" s="35"/>
      <c r="G36" s="35"/>
      <c r="H36" s="35"/>
      <c r="I36" s="35"/>
      <c r="J36" s="35"/>
      <c r="K36" s="35"/>
      <c r="L36" s="35"/>
      <c r="M36" s="35"/>
      <c r="N36" s="35"/>
      <c r="O36" s="35"/>
      <c r="P36" s="35"/>
      <c r="Q36" s="35"/>
      <c r="R36" s="35"/>
      <c r="S36" s="35"/>
      <c r="T36" s="35"/>
      <c r="U36" s="35"/>
      <c r="V36" s="35">
        <v>4768.5</v>
      </c>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v>7210.6</v>
      </c>
      <c r="BR36" s="35"/>
      <c r="BS36" s="35"/>
      <c r="BT36" s="35"/>
      <c r="BU36" s="35"/>
      <c r="BV36" s="35"/>
      <c r="BW36" s="35"/>
      <c r="BX36" s="35"/>
      <c r="BY36" s="35"/>
      <c r="BZ36" s="222">
        <f t="shared" si="0"/>
        <v>11979.1</v>
      </c>
    </row>
    <row r="37" spans="1:79">
      <c r="A37" s="128" t="s">
        <v>404</v>
      </c>
      <c r="B37" s="35"/>
      <c r="C37" s="35"/>
      <c r="D37" s="35"/>
      <c r="E37" s="35"/>
      <c r="F37" s="35"/>
      <c r="G37" s="35"/>
      <c r="H37" s="35"/>
      <c r="I37" s="35"/>
      <c r="J37" s="35"/>
      <c r="K37" s="35"/>
      <c r="L37" s="35"/>
      <c r="M37" s="35"/>
      <c r="N37" s="35"/>
      <c r="O37" s="35"/>
      <c r="P37" s="35"/>
      <c r="Q37" s="35"/>
      <c r="R37" s="35"/>
      <c r="S37" s="35"/>
      <c r="T37" s="35"/>
      <c r="U37" s="35"/>
      <c r="V37" s="35"/>
      <c r="W37" s="35">
        <f>3299+131566.2+900</f>
        <v>135765.20000000001</v>
      </c>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222">
        <f t="shared" si="0"/>
        <v>135765.20000000001</v>
      </c>
    </row>
    <row r="38" spans="1:79" ht="12.75" customHeight="1">
      <c r="A38" s="128" t="s">
        <v>47</v>
      </c>
      <c r="B38" s="35"/>
      <c r="C38" s="35"/>
      <c r="D38" s="35"/>
      <c r="E38" s="35"/>
      <c r="F38" s="35"/>
      <c r="G38" s="35"/>
      <c r="H38" s="35"/>
      <c r="I38" s="35"/>
      <c r="J38" s="35"/>
      <c r="K38" s="35"/>
      <c r="L38" s="35"/>
      <c r="M38" s="35"/>
      <c r="N38" s="35"/>
      <c r="O38" s="35"/>
      <c r="P38" s="35"/>
      <c r="Q38" s="35"/>
      <c r="R38" s="35"/>
      <c r="S38" s="35"/>
      <c r="T38" s="35"/>
      <c r="U38" s="35"/>
      <c r="V38" s="35"/>
      <c r="W38" s="35">
        <f>209.2+13.2</f>
        <v>222.39999999999998</v>
      </c>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222">
        <f t="shared" si="0"/>
        <v>222.39999999999998</v>
      </c>
    </row>
    <row r="39" spans="1:79">
      <c r="A39" s="128" t="s">
        <v>405</v>
      </c>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v>70.099999999999994</v>
      </c>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222">
        <f t="shared" si="0"/>
        <v>70.099999999999994</v>
      </c>
    </row>
    <row r="40" spans="1:79">
      <c r="A40" s="128" t="s">
        <v>50</v>
      </c>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v>60888</v>
      </c>
      <c r="BE40" s="35"/>
      <c r="BF40" s="35"/>
      <c r="BG40" s="35"/>
      <c r="BH40" s="35"/>
      <c r="BI40" s="35"/>
      <c r="BJ40" s="35"/>
      <c r="BK40" s="35"/>
      <c r="BL40" s="35"/>
      <c r="BM40" s="35"/>
      <c r="BN40" s="35"/>
      <c r="BO40" s="35"/>
      <c r="BP40" s="35"/>
      <c r="BQ40" s="35"/>
      <c r="BR40" s="35"/>
      <c r="BS40" s="35"/>
      <c r="BT40" s="35"/>
      <c r="BU40" s="35"/>
      <c r="BV40" s="35"/>
      <c r="BW40" s="35"/>
      <c r="BX40" s="35"/>
      <c r="BY40" s="35"/>
      <c r="BZ40" s="222">
        <f t="shared" si="0"/>
        <v>60888</v>
      </c>
    </row>
    <row r="41" spans="1:79">
      <c r="A41" s="128" t="s">
        <v>51</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v>61511.5</v>
      </c>
      <c r="BY41" s="35"/>
      <c r="BZ41" s="222">
        <f t="shared" si="0"/>
        <v>61511.5</v>
      </c>
    </row>
    <row r="42" spans="1:79" s="129" customFormat="1">
      <c r="A42" s="128" t="s">
        <v>406</v>
      </c>
      <c r="B42" s="35">
        <f>SUM(B3:B41)</f>
        <v>3153.1</v>
      </c>
      <c r="C42" s="35">
        <f t="shared" ref="C42:BP42" si="1">SUM(C3:C41)</f>
        <v>0</v>
      </c>
      <c r="D42" s="35">
        <f t="shared" si="1"/>
        <v>3588.3</v>
      </c>
      <c r="E42" s="35">
        <f t="shared" si="1"/>
        <v>3216.2</v>
      </c>
      <c r="F42" s="35">
        <f t="shared" si="1"/>
        <v>3356.2</v>
      </c>
      <c r="G42" s="35">
        <f t="shared" si="1"/>
        <v>308.10000000000002</v>
      </c>
      <c r="H42" s="35">
        <f t="shared" si="1"/>
        <v>107566.5</v>
      </c>
      <c r="I42" s="349">
        <f t="shared" si="1"/>
        <v>37319.245000000003</v>
      </c>
      <c r="J42" s="349">
        <f t="shared" si="1"/>
        <v>52302.154999999999</v>
      </c>
      <c r="K42" s="349">
        <f t="shared" si="1"/>
        <v>46722.700000000004</v>
      </c>
      <c r="L42" s="349">
        <f t="shared" si="1"/>
        <v>7666.8</v>
      </c>
      <c r="M42" s="35">
        <f t="shared" si="1"/>
        <v>826</v>
      </c>
      <c r="N42" s="35">
        <f t="shared" si="1"/>
        <v>1602.2</v>
      </c>
      <c r="O42" s="35">
        <f t="shared" si="1"/>
        <v>0</v>
      </c>
      <c r="P42" s="35">
        <f t="shared" si="1"/>
        <v>2450.1</v>
      </c>
      <c r="Q42" s="349">
        <f t="shared" si="1"/>
        <v>4453</v>
      </c>
      <c r="R42" s="35">
        <f t="shared" si="1"/>
        <v>0</v>
      </c>
      <c r="S42" s="35">
        <f t="shared" si="1"/>
        <v>500</v>
      </c>
      <c r="T42" s="35">
        <f t="shared" si="1"/>
        <v>355</v>
      </c>
      <c r="U42" s="35">
        <f t="shared" si="1"/>
        <v>550</v>
      </c>
      <c r="V42" s="35">
        <f t="shared" si="1"/>
        <v>4768.5</v>
      </c>
      <c r="W42" s="349">
        <f t="shared" si="1"/>
        <v>135987.6</v>
      </c>
      <c r="X42" s="35">
        <f t="shared" si="1"/>
        <v>300</v>
      </c>
      <c r="Y42" s="35">
        <f t="shared" si="1"/>
        <v>9459.4</v>
      </c>
      <c r="Z42" s="35">
        <f t="shared" si="1"/>
        <v>0</v>
      </c>
      <c r="AA42" s="35">
        <f t="shared" si="1"/>
        <v>0</v>
      </c>
      <c r="AB42" s="35">
        <f t="shared" si="1"/>
        <v>0</v>
      </c>
      <c r="AC42" s="35">
        <f t="shared" si="1"/>
        <v>38773.179999999993</v>
      </c>
      <c r="AD42" s="35">
        <f t="shared" si="1"/>
        <v>64846.308999999994</v>
      </c>
      <c r="AE42" s="35">
        <f t="shared" si="1"/>
        <v>70.099999999999994</v>
      </c>
      <c r="AF42" s="35">
        <f t="shared" si="1"/>
        <v>910</v>
      </c>
      <c r="AG42" s="35">
        <f t="shared" si="1"/>
        <v>11695.6</v>
      </c>
      <c r="AH42" s="35">
        <f t="shared" si="1"/>
        <v>0</v>
      </c>
      <c r="AI42" s="349">
        <f t="shared" si="1"/>
        <v>3570</v>
      </c>
      <c r="AJ42" s="35">
        <f t="shared" si="1"/>
        <v>0</v>
      </c>
      <c r="AK42" s="35">
        <f t="shared" si="1"/>
        <v>1000</v>
      </c>
      <c r="AL42" s="35">
        <f t="shared" si="1"/>
        <v>0</v>
      </c>
      <c r="AM42" s="349">
        <f t="shared" si="1"/>
        <v>4500.3</v>
      </c>
      <c r="AN42" s="35">
        <f t="shared" si="1"/>
        <v>1954.5</v>
      </c>
      <c r="AO42" s="35">
        <f t="shared" si="1"/>
        <v>142.03399999999999</v>
      </c>
      <c r="AP42" s="35">
        <f t="shared" si="1"/>
        <v>189.38399999999999</v>
      </c>
      <c r="AQ42" s="35">
        <f t="shared" si="1"/>
        <v>18.2</v>
      </c>
      <c r="AR42" s="35">
        <f t="shared" si="1"/>
        <v>1043.5</v>
      </c>
      <c r="AS42" s="35">
        <f t="shared" si="1"/>
        <v>0</v>
      </c>
      <c r="AT42" s="35">
        <f t="shared" si="1"/>
        <v>0</v>
      </c>
      <c r="AU42" s="35">
        <f t="shared" si="1"/>
        <v>4437.21</v>
      </c>
      <c r="AV42" s="35">
        <f t="shared" si="1"/>
        <v>10249.83</v>
      </c>
      <c r="AW42" s="35">
        <f t="shared" si="1"/>
        <v>9760.8000000000011</v>
      </c>
      <c r="AX42" s="35">
        <f t="shared" si="1"/>
        <v>1094</v>
      </c>
      <c r="AY42" s="35">
        <f t="shared" si="1"/>
        <v>0</v>
      </c>
      <c r="AZ42" s="35">
        <f t="shared" si="1"/>
        <v>42912</v>
      </c>
      <c r="BA42" s="35">
        <f t="shared" si="1"/>
        <v>641.79999999999995</v>
      </c>
      <c r="BB42" s="35">
        <f t="shared" si="1"/>
        <v>15388.9</v>
      </c>
      <c r="BC42" s="35">
        <f t="shared" si="1"/>
        <v>598037.80000000005</v>
      </c>
      <c r="BD42" s="35">
        <f t="shared" si="1"/>
        <v>60888</v>
      </c>
      <c r="BE42" s="35">
        <f t="shared" si="1"/>
        <v>0</v>
      </c>
      <c r="BF42" s="35">
        <f t="shared" si="1"/>
        <v>0</v>
      </c>
      <c r="BG42" s="35">
        <f t="shared" si="1"/>
        <v>0</v>
      </c>
      <c r="BH42" s="35">
        <f t="shared" si="1"/>
        <v>0</v>
      </c>
      <c r="BI42" s="349">
        <f t="shared" si="1"/>
        <v>40199.699999999997</v>
      </c>
      <c r="BJ42" s="349">
        <f t="shared" si="1"/>
        <v>39514</v>
      </c>
      <c r="BK42" s="349">
        <f t="shared" si="1"/>
        <v>128</v>
      </c>
      <c r="BL42" s="349">
        <f t="shared" si="1"/>
        <v>12000</v>
      </c>
      <c r="BM42" s="35">
        <f t="shared" si="1"/>
        <v>0</v>
      </c>
      <c r="BN42" s="35">
        <f t="shared" si="1"/>
        <v>0</v>
      </c>
      <c r="BO42" s="349">
        <f t="shared" si="1"/>
        <v>83608.7</v>
      </c>
      <c r="BP42" s="35">
        <f t="shared" si="1"/>
        <v>0</v>
      </c>
      <c r="BQ42" s="349">
        <f t="shared" ref="BQ42:BZ42" si="2">SUM(BQ3:BQ41)</f>
        <v>7210.6</v>
      </c>
      <c r="BR42" s="35">
        <f t="shared" si="2"/>
        <v>0</v>
      </c>
      <c r="BS42" s="35">
        <f t="shared" si="2"/>
        <v>0</v>
      </c>
      <c r="BT42" s="35">
        <f t="shared" si="2"/>
        <v>0</v>
      </c>
      <c r="BU42" s="35">
        <f t="shared" si="2"/>
        <v>0</v>
      </c>
      <c r="BV42" s="35">
        <f t="shared" si="2"/>
        <v>0</v>
      </c>
      <c r="BW42" s="349">
        <f t="shared" si="2"/>
        <v>43.8</v>
      </c>
      <c r="BX42" s="35">
        <f t="shared" si="2"/>
        <v>61511.5</v>
      </c>
      <c r="BY42" s="35">
        <f t="shared" si="2"/>
        <v>0</v>
      </c>
      <c r="BZ42" s="35">
        <f t="shared" si="2"/>
        <v>1542790.8469999998</v>
      </c>
      <c r="CA42" s="133">
        <f>SUM(B42:BY42)</f>
        <v>1542790.8469999998</v>
      </c>
    </row>
    <row r="43" spans="1:79">
      <c r="X43" s="132"/>
      <c r="Y43" s="132">
        <f>SUM(B42:Y42)</f>
        <v>426451.1</v>
      </c>
      <c r="AA43" s="133"/>
      <c r="AB43" s="133">
        <f>Z42+AA42+AB42</f>
        <v>0</v>
      </c>
      <c r="AC43" s="133"/>
      <c r="AD43" s="133"/>
      <c r="AE43" s="133"/>
      <c r="AF43" s="133"/>
      <c r="AG43" s="133"/>
      <c r="AH43" s="133"/>
      <c r="AI43" s="133"/>
      <c r="AJ43" s="133"/>
      <c r="AK43" s="134">
        <f>AC42+AD42+AE42+AF42+AG42+AH42+AJ42+AK42</f>
        <v>117295.189</v>
      </c>
      <c r="AL43" s="133">
        <f>AL42</f>
        <v>0</v>
      </c>
      <c r="AM43" s="134"/>
      <c r="AN43" s="134"/>
      <c r="AO43" s="134"/>
      <c r="AP43" s="133">
        <f>AM42+AN42+AO42+AP42</f>
        <v>6786.2179999999998</v>
      </c>
      <c r="AS43" s="133">
        <f>AQ42+AR42+AS42</f>
        <v>1061.7</v>
      </c>
      <c r="AT43" s="133"/>
      <c r="BC43" s="133">
        <f>AU42+AV42+AW42+AX42+AZ42+BA42+BB42+BC42</f>
        <v>682522.34000000008</v>
      </c>
      <c r="BG43" s="133">
        <f>BD42+BF42+BG42</f>
        <v>60888</v>
      </c>
      <c r="BY43" s="134">
        <f>SUM(BH42:BY42)</f>
        <v>244216.3</v>
      </c>
      <c r="CA43" s="133">
        <f>SUM(B43:BY43)</f>
        <v>1539220.8470000001</v>
      </c>
    </row>
  </sheetData>
  <pageMargins left="0.31496062992125984" right="0" top="1.1417322834645669" bottom="0.19685039370078741"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tabColor rgb="FFFF0000"/>
  </sheetPr>
  <dimension ref="A2:CJ43"/>
  <sheetViews>
    <sheetView zoomScaleNormal="100" zoomScaleSheetLayoutView="100" workbookViewId="0">
      <pane xSplit="1" ySplit="2" topLeftCell="BH28" activePane="bottomRight" state="frozen"/>
      <selection pane="topRight" activeCell="B1" sqref="B1"/>
      <selection pane="bottomLeft" activeCell="A3" sqref="A3"/>
      <selection pane="bottomRight" activeCell="CJ42" sqref="CJ42"/>
    </sheetView>
  </sheetViews>
  <sheetFormatPr defaultRowHeight="12.75"/>
  <cols>
    <col min="1" max="1" width="6" style="130" customWidth="1"/>
    <col min="2" max="2" width="7.42578125" style="131" customWidth="1"/>
    <col min="3" max="3" width="8.5703125" style="131" customWidth="1"/>
    <col min="4" max="4" width="7.7109375" style="131" customWidth="1"/>
    <col min="5" max="5" width="8.5703125" style="131" customWidth="1"/>
    <col min="6" max="6" width="7.42578125" style="131" customWidth="1"/>
    <col min="7" max="7" width="6.140625" style="131" customWidth="1"/>
    <col min="8" max="8" width="9.140625" style="131" customWidth="1"/>
    <col min="9" max="9" width="8.140625" style="131" customWidth="1"/>
    <col min="10" max="10" width="8.140625" style="401" customWidth="1"/>
    <col min="11" max="11" width="8.42578125" style="131" customWidth="1"/>
    <col min="12" max="12" width="8.42578125" style="401" customWidth="1"/>
    <col min="13" max="13" width="8.28515625" style="131" customWidth="1"/>
    <col min="14" max="14" width="8.28515625" style="401" customWidth="1"/>
    <col min="15" max="15" width="7.42578125" style="131" customWidth="1"/>
    <col min="16" max="16" width="7.42578125" style="401" customWidth="1"/>
    <col min="17" max="17" width="6.28515625" style="131" customWidth="1"/>
    <col min="18" max="18" width="7.28515625" style="131" customWidth="1"/>
    <col min="19" max="20" width="7.42578125" style="131" customWidth="1"/>
    <col min="21" max="21" width="8.42578125" style="131" customWidth="1"/>
    <col min="22" max="22" width="8.42578125" style="401" customWidth="1"/>
    <col min="23" max="23" width="8.42578125" style="131" customWidth="1"/>
    <col min="24" max="24" width="7.85546875" style="131" customWidth="1"/>
    <col min="25" max="25" width="6" style="131" customWidth="1"/>
    <col min="26" max="26" width="7.42578125" style="131" customWidth="1"/>
    <col min="27" max="27" width="7.28515625" style="131" customWidth="1"/>
    <col min="28" max="28" width="8.42578125" style="131" customWidth="1"/>
    <col min="29" max="29" width="8.42578125" style="401" customWidth="1"/>
    <col min="30" max="30" width="6" style="131" customWidth="1"/>
    <col min="31" max="31" width="8.28515625" style="131" customWidth="1"/>
    <col min="32" max="32" width="8.28515625" style="36" customWidth="1"/>
    <col min="33" max="33" width="8.42578125" style="36" customWidth="1"/>
    <col min="34" max="34" width="7.85546875" style="36" customWidth="1"/>
    <col min="35" max="36" width="8.140625" style="36" customWidth="1"/>
    <col min="37" max="37" width="6.28515625" style="36" customWidth="1"/>
    <col min="38" max="38" width="6" style="36" customWidth="1"/>
    <col min="39" max="39" width="8.28515625" style="36" customWidth="1"/>
    <col min="40" max="40" width="7.28515625" style="36" customWidth="1"/>
    <col min="41" max="41" width="7.28515625" style="402" customWidth="1"/>
    <col min="42" max="42" width="7.28515625" style="36" customWidth="1"/>
    <col min="43" max="43" width="7.7109375" style="36" customWidth="1"/>
    <col min="44" max="44" width="6" style="36" customWidth="1"/>
    <col min="45" max="45" width="7.7109375" style="36" customWidth="1"/>
    <col min="46" max="46" width="7.7109375" style="402" customWidth="1"/>
    <col min="47" max="47" width="7.85546875" style="36" customWidth="1"/>
    <col min="48" max="48" width="6" style="36" customWidth="1"/>
    <col min="49" max="49" width="7" style="36" bestFit="1" customWidth="1"/>
    <col min="50" max="50" width="5.85546875" style="402" customWidth="1"/>
    <col min="51" max="51" width="7.28515625" style="402" customWidth="1"/>
    <col min="52" max="52" width="5.7109375" style="36" customWidth="1"/>
    <col min="53" max="53" width="4.42578125" style="36" customWidth="1"/>
    <col min="54" max="54" width="7.42578125" style="402" customWidth="1"/>
    <col min="55" max="55" width="8.7109375" style="402" customWidth="1"/>
    <col min="56" max="56" width="7.42578125" style="402" customWidth="1"/>
    <col min="57" max="57" width="7" style="402" customWidth="1"/>
    <col min="58" max="58" width="6" style="402" customWidth="1"/>
    <col min="59" max="59" width="8.140625" style="402" customWidth="1"/>
    <col min="60" max="60" width="6.42578125" style="402" customWidth="1"/>
    <col min="61" max="61" width="8.5703125" style="402" customWidth="1"/>
    <col min="62" max="62" width="9.5703125" style="402" customWidth="1"/>
    <col min="63" max="63" width="9.5703125" style="36" customWidth="1"/>
    <col min="64" max="64" width="8.5703125" style="402" customWidth="1"/>
    <col min="65" max="65" width="7.140625" style="402" customWidth="1"/>
    <col min="66" max="66" width="7.42578125" style="36" customWidth="1"/>
    <col min="67" max="67" width="7.85546875" style="402" customWidth="1"/>
    <col min="68" max="68" width="6.28515625" style="36" customWidth="1"/>
    <col min="69" max="69" width="9.140625" style="402" customWidth="1"/>
    <col min="70" max="70" width="8.140625" style="402" customWidth="1"/>
    <col min="71" max="71" width="6.140625" style="402" customWidth="1"/>
    <col min="72" max="72" width="9.140625" style="402" customWidth="1"/>
    <col min="73" max="73" width="4" style="36" customWidth="1"/>
    <col min="74" max="74" width="4.42578125" style="36" customWidth="1"/>
    <col min="75" max="75" width="8.42578125" style="402" customWidth="1"/>
    <col min="76" max="76" width="6.42578125" style="36" customWidth="1"/>
    <col min="77" max="77" width="7.42578125" style="402" customWidth="1"/>
    <col min="78" max="78" width="6.140625" style="36" hidden="1" customWidth="1"/>
    <col min="79" max="79" width="8.42578125" style="36" hidden="1" customWidth="1"/>
    <col min="80" max="81" width="7.42578125" style="36" hidden="1" customWidth="1"/>
    <col min="82" max="82" width="4.42578125" style="36" hidden="1" customWidth="1"/>
    <col min="83" max="83" width="7.85546875" style="402" customWidth="1"/>
    <col min="84" max="84" width="8.42578125" style="36" customWidth="1"/>
    <col min="85" max="85" width="7.42578125" style="36" customWidth="1"/>
    <col min="86" max="86" width="10.5703125" style="36" customWidth="1"/>
    <col min="87" max="87" width="10.140625" style="406" bestFit="1" customWidth="1"/>
    <col min="88" max="88" width="11.7109375" style="36" bestFit="1" customWidth="1"/>
    <col min="89" max="16384" width="9.140625" style="36"/>
  </cols>
  <sheetData>
    <row r="2" spans="1:87" s="127" customFormat="1">
      <c r="A2" s="126"/>
      <c r="B2" s="396" t="s">
        <v>34</v>
      </c>
      <c r="C2" s="396" t="s">
        <v>393</v>
      </c>
      <c r="D2" s="396" t="s">
        <v>39</v>
      </c>
      <c r="E2" s="396" t="s">
        <v>602</v>
      </c>
      <c r="F2" s="396" t="s">
        <v>388</v>
      </c>
      <c r="G2" s="396" t="s">
        <v>42</v>
      </c>
      <c r="H2" s="396" t="s">
        <v>746</v>
      </c>
      <c r="I2" s="396" t="s">
        <v>386</v>
      </c>
      <c r="J2" s="399" t="s">
        <v>1217</v>
      </c>
      <c r="K2" s="396" t="s">
        <v>568</v>
      </c>
      <c r="L2" s="399" t="s">
        <v>1218</v>
      </c>
      <c r="M2" s="396" t="s">
        <v>612</v>
      </c>
      <c r="N2" s="399" t="s">
        <v>1209</v>
      </c>
      <c r="O2" s="396" t="s">
        <v>574</v>
      </c>
      <c r="P2" s="399" t="s">
        <v>1206</v>
      </c>
      <c r="Q2" s="396" t="s">
        <v>44</v>
      </c>
      <c r="R2" s="396" t="s">
        <v>575</v>
      </c>
      <c r="S2" s="396" t="s">
        <v>854</v>
      </c>
      <c r="T2" s="396" t="s">
        <v>739</v>
      </c>
      <c r="U2" s="396" t="s">
        <v>567</v>
      </c>
      <c r="V2" s="399" t="s">
        <v>1210</v>
      </c>
      <c r="W2" s="396" t="s">
        <v>1040</v>
      </c>
      <c r="X2" s="396" t="s">
        <v>744</v>
      </c>
      <c r="Y2" s="396" t="s">
        <v>745</v>
      </c>
      <c r="Z2" s="396" t="s">
        <v>623</v>
      </c>
      <c r="AA2" s="396" t="s">
        <v>627</v>
      </c>
      <c r="AB2" s="396" t="s">
        <v>749</v>
      </c>
      <c r="AC2" s="399" t="s">
        <v>1211</v>
      </c>
      <c r="AD2" s="396" t="s">
        <v>45</v>
      </c>
      <c r="AE2" s="396" t="s">
        <v>747</v>
      </c>
      <c r="AF2" s="396" t="s">
        <v>48</v>
      </c>
      <c r="AG2" s="396" t="s">
        <v>748</v>
      </c>
      <c r="AH2" s="396" t="s">
        <v>736</v>
      </c>
      <c r="AI2" s="396" t="s">
        <v>564</v>
      </c>
      <c r="AJ2" s="396" t="s">
        <v>569</v>
      </c>
      <c r="AK2" s="396" t="s">
        <v>773</v>
      </c>
      <c r="AL2" s="396" t="s">
        <v>565</v>
      </c>
      <c r="AM2" s="396" t="s">
        <v>740</v>
      </c>
      <c r="AN2" s="396" t="s">
        <v>737</v>
      </c>
      <c r="AO2" s="399" t="s">
        <v>1216</v>
      </c>
      <c r="AP2" s="396" t="s">
        <v>735</v>
      </c>
      <c r="AQ2" s="396" t="s">
        <v>738</v>
      </c>
      <c r="AR2" s="396" t="s">
        <v>566</v>
      </c>
      <c r="AS2" s="396" t="s">
        <v>52</v>
      </c>
      <c r="AT2" s="399" t="s">
        <v>1221</v>
      </c>
      <c r="AU2" s="396" t="s">
        <v>741</v>
      </c>
      <c r="AV2" s="396" t="s">
        <v>742</v>
      </c>
      <c r="AW2" s="396" t="s">
        <v>743</v>
      </c>
      <c r="AX2" s="399" t="s">
        <v>1224</v>
      </c>
      <c r="AY2" s="399" t="s">
        <v>1233</v>
      </c>
      <c r="AZ2" s="396" t="s">
        <v>754</v>
      </c>
      <c r="BA2" s="396" t="s">
        <v>857</v>
      </c>
      <c r="BB2" s="399" t="s">
        <v>1222</v>
      </c>
      <c r="BC2" s="399" t="s">
        <v>1223</v>
      </c>
      <c r="BD2" s="399" t="s">
        <v>1225</v>
      </c>
      <c r="BE2" s="399" t="s">
        <v>1227</v>
      </c>
      <c r="BF2" s="399" t="s">
        <v>1231</v>
      </c>
      <c r="BG2" s="399" t="s">
        <v>1230</v>
      </c>
      <c r="BH2" s="399" t="s">
        <v>1226</v>
      </c>
      <c r="BI2" s="399" t="s">
        <v>1228</v>
      </c>
      <c r="BJ2" s="399" t="s">
        <v>1229</v>
      </c>
      <c r="BK2" s="398" t="s">
        <v>772</v>
      </c>
      <c r="BL2" s="399" t="s">
        <v>1235</v>
      </c>
      <c r="BM2" s="399" t="s">
        <v>1234</v>
      </c>
      <c r="BN2" s="396" t="s">
        <v>761</v>
      </c>
      <c r="BO2" s="399" t="s">
        <v>1232</v>
      </c>
      <c r="BP2" s="396" t="s">
        <v>760</v>
      </c>
      <c r="BQ2" s="399" t="s">
        <v>1207</v>
      </c>
      <c r="BR2" s="399" t="s">
        <v>1213</v>
      </c>
      <c r="BS2" s="399" t="s">
        <v>1212</v>
      </c>
      <c r="BT2" s="399" t="s">
        <v>1219</v>
      </c>
      <c r="BU2" s="396" t="s">
        <v>680</v>
      </c>
      <c r="BV2" s="396" t="s">
        <v>762</v>
      </c>
      <c r="BW2" s="399" t="s">
        <v>1215</v>
      </c>
      <c r="BX2" s="396" t="s">
        <v>911</v>
      </c>
      <c r="BY2" s="399" t="s">
        <v>1208</v>
      </c>
      <c r="BZ2" s="396" t="s">
        <v>687</v>
      </c>
      <c r="CA2" s="396" t="s">
        <v>768</v>
      </c>
      <c r="CB2" s="396" t="s">
        <v>856</v>
      </c>
      <c r="CC2" s="396" t="s">
        <v>949</v>
      </c>
      <c r="CD2" s="396" t="s">
        <v>763</v>
      </c>
      <c r="CE2" s="399" t="s">
        <v>1214</v>
      </c>
      <c r="CF2" s="396" t="s">
        <v>702</v>
      </c>
      <c r="CG2" s="396" t="s">
        <v>770</v>
      </c>
      <c r="CH2" s="397" t="s">
        <v>406</v>
      </c>
      <c r="CI2" s="404" t="s">
        <v>1220</v>
      </c>
    </row>
    <row r="3" spans="1:87">
      <c r="A3" s="128" t="s">
        <v>379</v>
      </c>
      <c r="B3" s="35"/>
      <c r="C3" s="35"/>
      <c r="D3" s="35"/>
      <c r="E3" s="35"/>
      <c r="F3" s="35"/>
      <c r="G3" s="35"/>
      <c r="H3" s="35"/>
      <c r="I3" s="35"/>
      <c r="J3" s="400"/>
      <c r="K3" s="35"/>
      <c r="L3" s="400"/>
      <c r="M3" s="35"/>
      <c r="N3" s="400"/>
      <c r="O3" s="35"/>
      <c r="P3" s="400"/>
      <c r="Q3" s="35"/>
      <c r="R3" s="35"/>
      <c r="S3" s="35"/>
      <c r="T3" s="35"/>
      <c r="U3" s="35"/>
      <c r="V3" s="400"/>
      <c r="W3" s="35"/>
      <c r="X3" s="35"/>
      <c r="Y3" s="35"/>
      <c r="Z3" s="35"/>
      <c r="AA3" s="35"/>
      <c r="AB3" s="35"/>
      <c r="AC3" s="400"/>
      <c r="AD3" s="35"/>
      <c r="AE3" s="35"/>
      <c r="AF3" s="35"/>
      <c r="AG3" s="35"/>
      <c r="AH3" s="35"/>
      <c r="AI3" s="35">
        <f>548.2</f>
        <v>548.20000000000005</v>
      </c>
      <c r="AJ3" s="35">
        <v>1822</v>
      </c>
      <c r="AK3" s="35"/>
      <c r="AL3" s="35"/>
      <c r="AM3" s="35"/>
      <c r="AN3" s="35"/>
      <c r="AO3" s="400"/>
      <c r="AP3" s="35"/>
      <c r="AQ3" s="35"/>
      <c r="AR3" s="35"/>
      <c r="AS3" s="35"/>
      <c r="AT3" s="400"/>
      <c r="AU3" s="35"/>
      <c r="AV3" s="35"/>
      <c r="AW3" s="35"/>
      <c r="AX3" s="400"/>
      <c r="AY3" s="400"/>
      <c r="AZ3" s="35"/>
      <c r="BA3" s="35"/>
      <c r="BB3" s="400"/>
      <c r="BC3" s="400"/>
      <c r="BD3" s="400"/>
      <c r="BE3" s="400"/>
      <c r="BF3" s="400"/>
      <c r="BG3" s="400"/>
      <c r="BH3" s="400"/>
      <c r="BI3" s="400"/>
      <c r="BJ3" s="400"/>
      <c r="BK3" s="35"/>
      <c r="BL3" s="400"/>
      <c r="BM3" s="400"/>
      <c r="BN3" s="35"/>
      <c r="BO3" s="400"/>
      <c r="BP3" s="35"/>
      <c r="BQ3" s="400"/>
      <c r="BR3" s="400"/>
      <c r="BS3" s="400"/>
      <c r="BT3" s="400"/>
      <c r="BU3" s="35"/>
      <c r="BV3" s="35"/>
      <c r="BW3" s="400"/>
      <c r="BX3" s="35"/>
      <c r="BY3" s="400"/>
      <c r="BZ3" s="35"/>
      <c r="CA3" s="35"/>
      <c r="CB3" s="35"/>
      <c r="CC3" s="35"/>
      <c r="CD3" s="35"/>
      <c r="CE3" s="400"/>
      <c r="CF3" s="35"/>
      <c r="CG3" s="35"/>
      <c r="CH3" s="222">
        <f>SUM(B3:CF3)</f>
        <v>2370.1999999999998</v>
      </c>
      <c r="CI3" s="405">
        <f>J3+L3+N3+P3+V3+AC3+AO3+AT3+AX3+AY3+BB3+BC3+BD3+BE3+BF3+BG3+BH3+BI3+BJ3+BL3+BM3+BO3+BQ3+BR3+BS3+BT3+BW3+BY3+CE3</f>
        <v>0</v>
      </c>
    </row>
    <row r="4" spans="1:87">
      <c r="A4" s="128" t="s">
        <v>380</v>
      </c>
      <c r="B4" s="35"/>
      <c r="C4" s="35"/>
      <c r="D4" s="35"/>
      <c r="E4" s="35"/>
      <c r="F4" s="35"/>
      <c r="G4" s="35"/>
      <c r="H4" s="35"/>
      <c r="I4" s="35"/>
      <c r="J4" s="400"/>
      <c r="K4" s="35"/>
      <c r="L4" s="400"/>
      <c r="M4" s="35"/>
      <c r="N4" s="400"/>
      <c r="O4" s="35"/>
      <c r="P4" s="400"/>
      <c r="Q4" s="35"/>
      <c r="R4" s="35"/>
      <c r="S4" s="35"/>
      <c r="T4" s="35"/>
      <c r="U4" s="35"/>
      <c r="V4" s="400"/>
      <c r="W4" s="35"/>
      <c r="X4" s="35"/>
      <c r="Y4" s="35"/>
      <c r="Z4" s="35"/>
      <c r="AA4" s="35"/>
      <c r="AB4" s="35"/>
      <c r="AC4" s="400"/>
      <c r="AD4" s="35"/>
      <c r="AE4" s="35"/>
      <c r="AF4" s="35"/>
      <c r="AG4" s="35"/>
      <c r="AH4" s="35"/>
      <c r="AI4" s="35">
        <f>628.5+432.655</f>
        <v>1061.155</v>
      </c>
      <c r="AJ4" s="35">
        <v>1393.2449999999999</v>
      </c>
      <c r="AK4" s="35"/>
      <c r="AL4" s="35"/>
      <c r="AM4" s="35"/>
      <c r="AN4" s="35"/>
      <c r="AO4" s="400"/>
      <c r="AP4" s="35"/>
      <c r="AQ4" s="35"/>
      <c r="AR4" s="35"/>
      <c r="AS4" s="35"/>
      <c r="AT4" s="400"/>
      <c r="AU4" s="35"/>
      <c r="AV4" s="35"/>
      <c r="AW4" s="35"/>
      <c r="AX4" s="400"/>
      <c r="AY4" s="400"/>
      <c r="AZ4" s="35"/>
      <c r="BA4" s="35"/>
      <c r="BB4" s="400"/>
      <c r="BC4" s="400"/>
      <c r="BD4" s="400"/>
      <c r="BE4" s="400"/>
      <c r="BF4" s="400"/>
      <c r="BG4" s="400"/>
      <c r="BH4" s="400"/>
      <c r="BI4" s="400"/>
      <c r="BJ4" s="400"/>
      <c r="BK4" s="35"/>
      <c r="BL4" s="400"/>
      <c r="BM4" s="400"/>
      <c r="BN4" s="35"/>
      <c r="BO4" s="400"/>
      <c r="BP4" s="35"/>
      <c r="BQ4" s="400"/>
      <c r="BR4" s="400"/>
      <c r="BS4" s="400"/>
      <c r="BT4" s="400"/>
      <c r="BU4" s="35"/>
      <c r="BV4" s="35"/>
      <c r="BW4" s="400"/>
      <c r="BX4" s="35"/>
      <c r="BY4" s="400"/>
      <c r="BZ4" s="35"/>
      <c r="CA4" s="35"/>
      <c r="CB4" s="35"/>
      <c r="CC4" s="35"/>
      <c r="CD4" s="35"/>
      <c r="CE4" s="400"/>
      <c r="CF4" s="35"/>
      <c r="CG4" s="35"/>
      <c r="CH4" s="222">
        <f t="shared" ref="CH4:CH41" si="0">SUM(B4:CF4)</f>
        <v>2454.3999999999996</v>
      </c>
      <c r="CI4" s="405">
        <f t="shared" ref="CI4:CI41" si="1">J4+L4+N4+P4+V4+AC4+AO4+AT4+AX4+AY4+BB4+BC4+BD4+BE4+BF4+BG4+BH4+BI4+BJ4+BL4+BM4+BO4+BQ4+BR4+BS4+BT4+BW4+BY4+CE4</f>
        <v>0</v>
      </c>
    </row>
    <row r="5" spans="1:87">
      <c r="A5" s="128" t="s">
        <v>381</v>
      </c>
      <c r="B5" s="35"/>
      <c r="C5" s="35"/>
      <c r="D5" s="35"/>
      <c r="E5" s="35"/>
      <c r="F5" s="35"/>
      <c r="G5" s="35"/>
      <c r="H5" s="35"/>
      <c r="I5" s="35"/>
      <c r="J5" s="400"/>
      <c r="K5" s="35"/>
      <c r="L5" s="400"/>
      <c r="M5" s="35"/>
      <c r="N5" s="400"/>
      <c r="O5" s="35"/>
      <c r="P5" s="400"/>
      <c r="Q5" s="35"/>
      <c r="R5" s="35"/>
      <c r="S5" s="35"/>
      <c r="T5" s="35"/>
      <c r="U5" s="35"/>
      <c r="V5" s="400"/>
      <c r="W5" s="35"/>
      <c r="X5" s="35"/>
      <c r="Y5" s="35"/>
      <c r="Z5" s="35"/>
      <c r="AA5" s="35"/>
      <c r="AB5" s="35"/>
      <c r="AC5" s="400"/>
      <c r="AD5" s="35"/>
      <c r="AE5" s="35"/>
      <c r="AF5" s="35"/>
      <c r="AG5" s="35"/>
      <c r="AH5" s="35"/>
      <c r="AI5" s="35">
        <f>151.3+22489.439</f>
        <v>22640.738999999998</v>
      </c>
      <c r="AJ5" s="35">
        <v>28048.35</v>
      </c>
      <c r="AK5" s="35"/>
      <c r="AL5" s="35">
        <v>910</v>
      </c>
      <c r="AM5" s="35"/>
      <c r="AN5" s="35"/>
      <c r="AO5" s="400"/>
      <c r="AP5" s="35"/>
      <c r="AQ5" s="35"/>
      <c r="AR5" s="35"/>
      <c r="AS5" s="35"/>
      <c r="AT5" s="400"/>
      <c r="AU5" s="35"/>
      <c r="AV5" s="35"/>
      <c r="AW5" s="35"/>
      <c r="AX5" s="400"/>
      <c r="AY5" s="400"/>
      <c r="AZ5" s="35"/>
      <c r="BA5" s="35"/>
      <c r="BB5" s="400">
        <v>3746.6480000000001</v>
      </c>
      <c r="BC5" s="400">
        <v>8694.4519999999993</v>
      </c>
      <c r="BD5" s="400"/>
      <c r="BE5" s="400"/>
      <c r="BF5" s="400"/>
      <c r="BG5" s="400"/>
      <c r="BH5" s="400"/>
      <c r="BI5" s="400"/>
      <c r="BJ5" s="400"/>
      <c r="BK5" s="35"/>
      <c r="BL5" s="400"/>
      <c r="BM5" s="400"/>
      <c r="BN5" s="35"/>
      <c r="BO5" s="400"/>
      <c r="BP5" s="35"/>
      <c r="BQ5" s="400"/>
      <c r="BR5" s="400"/>
      <c r="BS5" s="400"/>
      <c r="BT5" s="400"/>
      <c r="BU5" s="35"/>
      <c r="BV5" s="35"/>
      <c r="BW5" s="400"/>
      <c r="BX5" s="35"/>
      <c r="BY5" s="400"/>
      <c r="BZ5" s="35"/>
      <c r="CA5" s="35"/>
      <c r="CB5" s="35"/>
      <c r="CC5" s="35"/>
      <c r="CD5" s="35"/>
      <c r="CE5" s="400"/>
      <c r="CF5" s="35"/>
      <c r="CG5" s="35"/>
      <c r="CH5" s="222">
        <f t="shared" si="0"/>
        <v>64040.188999999991</v>
      </c>
      <c r="CI5" s="405">
        <f t="shared" si="1"/>
        <v>12441.099999999999</v>
      </c>
    </row>
    <row r="6" spans="1:87">
      <c r="A6" s="128" t="s">
        <v>445</v>
      </c>
      <c r="B6" s="35"/>
      <c r="C6" s="35"/>
      <c r="D6" s="35"/>
      <c r="E6" s="35"/>
      <c r="F6" s="35"/>
      <c r="G6" s="35"/>
      <c r="H6" s="35"/>
      <c r="I6" s="35"/>
      <c r="J6" s="400"/>
      <c r="K6" s="35"/>
      <c r="L6" s="400"/>
      <c r="M6" s="35"/>
      <c r="N6" s="400"/>
      <c r="O6" s="35"/>
      <c r="P6" s="400"/>
      <c r="Q6" s="35"/>
      <c r="R6" s="35"/>
      <c r="S6" s="35"/>
      <c r="T6" s="35"/>
      <c r="U6" s="35"/>
      <c r="V6" s="400"/>
      <c r="W6" s="35"/>
      <c r="X6" s="35"/>
      <c r="Y6" s="35"/>
      <c r="Z6" s="35"/>
      <c r="AA6" s="35"/>
      <c r="AB6" s="35"/>
      <c r="AC6" s="400"/>
      <c r="AD6" s="35"/>
      <c r="AE6" s="35"/>
      <c r="AF6" s="35"/>
      <c r="AG6" s="35"/>
      <c r="AH6" s="35"/>
      <c r="AI6" s="35"/>
      <c r="AJ6" s="35"/>
      <c r="AK6" s="35"/>
      <c r="AL6" s="35"/>
      <c r="AM6" s="35"/>
      <c r="AN6" s="35"/>
      <c r="AO6" s="400"/>
      <c r="AP6" s="35"/>
      <c r="AQ6" s="35"/>
      <c r="AR6" s="35"/>
      <c r="AS6" s="35"/>
      <c r="AT6" s="400"/>
      <c r="AU6" s="35"/>
      <c r="AV6" s="35"/>
      <c r="AW6" s="35"/>
      <c r="AX6" s="400">
        <v>18.2</v>
      </c>
      <c r="AY6" s="400"/>
      <c r="AZ6" s="35"/>
      <c r="BA6" s="35"/>
      <c r="BB6" s="400"/>
      <c r="BC6" s="400"/>
      <c r="BD6" s="400"/>
      <c r="BE6" s="400"/>
      <c r="BF6" s="400"/>
      <c r="BG6" s="400"/>
      <c r="BH6" s="400"/>
      <c r="BI6" s="400"/>
      <c r="BJ6" s="400"/>
      <c r="BK6" s="35"/>
      <c r="BL6" s="400"/>
      <c r="BM6" s="400"/>
      <c r="BN6" s="35"/>
      <c r="BO6" s="400"/>
      <c r="BP6" s="35"/>
      <c r="BQ6" s="400"/>
      <c r="BR6" s="400"/>
      <c r="BS6" s="400"/>
      <c r="BT6" s="400"/>
      <c r="BU6" s="35"/>
      <c r="BV6" s="35"/>
      <c r="BW6" s="400"/>
      <c r="BX6" s="35"/>
      <c r="BY6" s="400"/>
      <c r="BZ6" s="35"/>
      <c r="CA6" s="35"/>
      <c r="CB6" s="35"/>
      <c r="CC6" s="35"/>
      <c r="CD6" s="35"/>
      <c r="CE6" s="400"/>
      <c r="CF6" s="35"/>
      <c r="CG6" s="35"/>
      <c r="CH6" s="222">
        <f t="shared" si="0"/>
        <v>18.2</v>
      </c>
      <c r="CI6" s="405">
        <f t="shared" si="1"/>
        <v>18.2</v>
      </c>
    </row>
    <row r="7" spans="1:87">
      <c r="A7" s="128" t="s">
        <v>382</v>
      </c>
      <c r="B7" s="35"/>
      <c r="C7" s="35"/>
      <c r="D7" s="35"/>
      <c r="E7" s="35"/>
      <c r="F7" s="35"/>
      <c r="G7" s="35"/>
      <c r="H7" s="35"/>
      <c r="I7" s="35"/>
      <c r="J7" s="400"/>
      <c r="K7" s="35"/>
      <c r="L7" s="400"/>
      <c r="M7" s="35"/>
      <c r="N7" s="400"/>
      <c r="O7" s="35"/>
      <c r="P7" s="400"/>
      <c r="Q7" s="35"/>
      <c r="R7" s="35"/>
      <c r="S7" s="35"/>
      <c r="T7" s="35"/>
      <c r="U7" s="35"/>
      <c r="V7" s="400"/>
      <c r="W7" s="35"/>
      <c r="X7" s="35"/>
      <c r="Y7" s="35"/>
      <c r="Z7" s="35"/>
      <c r="AA7" s="35"/>
      <c r="AB7" s="35"/>
      <c r="AC7" s="400"/>
      <c r="AD7" s="35"/>
      <c r="AE7" s="35"/>
      <c r="AF7" s="35"/>
      <c r="AG7" s="35"/>
      <c r="AH7" s="35"/>
      <c r="AI7" s="35">
        <f>5594.195+60+245.891</f>
        <v>5900.0859999999993</v>
      </c>
      <c r="AJ7" s="35">
        <f>13964.005+814.209</f>
        <v>14778.214</v>
      </c>
      <c r="AK7" s="35"/>
      <c r="AL7" s="35"/>
      <c r="AM7" s="35"/>
      <c r="AN7" s="35"/>
      <c r="AO7" s="400"/>
      <c r="AP7" s="35"/>
      <c r="AQ7" s="35"/>
      <c r="AR7" s="35"/>
      <c r="AS7" s="35"/>
      <c r="AT7" s="400"/>
      <c r="AU7" s="35"/>
      <c r="AV7" s="35"/>
      <c r="AW7" s="35"/>
      <c r="AX7" s="400"/>
      <c r="AY7" s="400"/>
      <c r="AZ7" s="35"/>
      <c r="BA7" s="35"/>
      <c r="BB7" s="400"/>
      <c r="BC7" s="400"/>
      <c r="BD7" s="400"/>
      <c r="BE7" s="400"/>
      <c r="BF7" s="400"/>
      <c r="BG7" s="400"/>
      <c r="BH7" s="400"/>
      <c r="BI7" s="400"/>
      <c r="BJ7" s="400"/>
      <c r="BK7" s="35"/>
      <c r="BL7" s="400"/>
      <c r="BM7" s="400"/>
      <c r="BN7" s="35"/>
      <c r="BO7" s="400"/>
      <c r="BP7" s="35"/>
      <c r="BQ7" s="400"/>
      <c r="BR7" s="400"/>
      <c r="BS7" s="400"/>
      <c r="BT7" s="400"/>
      <c r="BU7" s="35"/>
      <c r="BV7" s="35"/>
      <c r="BW7" s="400"/>
      <c r="BX7" s="35"/>
      <c r="BY7" s="400"/>
      <c r="BZ7" s="35"/>
      <c r="CA7" s="35"/>
      <c r="CB7" s="35"/>
      <c r="CC7" s="35"/>
      <c r="CD7" s="35"/>
      <c r="CE7" s="400"/>
      <c r="CF7" s="35"/>
      <c r="CG7" s="35"/>
      <c r="CH7" s="222">
        <f t="shared" si="0"/>
        <v>20678.3</v>
      </c>
      <c r="CI7" s="405">
        <f t="shared" si="1"/>
        <v>0</v>
      </c>
    </row>
    <row r="8" spans="1:87">
      <c r="A8" s="128" t="s">
        <v>453</v>
      </c>
      <c r="B8" s="35"/>
      <c r="C8" s="35"/>
      <c r="D8" s="35"/>
      <c r="E8" s="35"/>
      <c r="F8" s="35"/>
      <c r="G8" s="35"/>
      <c r="H8" s="35"/>
      <c r="I8" s="35"/>
      <c r="J8" s="400"/>
      <c r="K8" s="35"/>
      <c r="L8" s="400"/>
      <c r="M8" s="35"/>
      <c r="N8" s="400"/>
      <c r="O8" s="35"/>
      <c r="P8" s="400"/>
      <c r="Q8" s="35"/>
      <c r="R8" s="35"/>
      <c r="S8" s="35"/>
      <c r="T8" s="35"/>
      <c r="U8" s="35"/>
      <c r="V8" s="400"/>
      <c r="W8" s="35"/>
      <c r="X8" s="35"/>
      <c r="Y8" s="35"/>
      <c r="Z8" s="35"/>
      <c r="AA8" s="35"/>
      <c r="AB8" s="35"/>
      <c r="AC8" s="400"/>
      <c r="AD8" s="35"/>
      <c r="AE8" s="35"/>
      <c r="AF8" s="35"/>
      <c r="AG8" s="35"/>
      <c r="AH8" s="35"/>
      <c r="AI8" s="35"/>
      <c r="AJ8" s="35"/>
      <c r="AK8" s="35"/>
      <c r="AL8" s="35"/>
      <c r="AM8" s="35"/>
      <c r="AN8" s="35"/>
      <c r="AO8" s="400"/>
      <c r="AP8" s="35"/>
      <c r="AQ8" s="35"/>
      <c r="AR8" s="35"/>
      <c r="AS8" s="35"/>
      <c r="AT8" s="400"/>
      <c r="AU8" s="35"/>
      <c r="AV8" s="35"/>
      <c r="AW8" s="35"/>
      <c r="AX8" s="400"/>
      <c r="AY8" s="400"/>
      <c r="AZ8" s="35"/>
      <c r="BA8" s="35"/>
      <c r="BB8" s="400"/>
      <c r="BC8" s="400"/>
      <c r="BD8" s="400"/>
      <c r="BE8" s="400"/>
      <c r="BF8" s="400"/>
      <c r="BG8" s="400"/>
      <c r="BH8" s="400"/>
      <c r="BI8" s="400"/>
      <c r="BJ8" s="400"/>
      <c r="BK8" s="35"/>
      <c r="BL8" s="400"/>
      <c r="BM8" s="400"/>
      <c r="BN8" s="35"/>
      <c r="BO8" s="400"/>
      <c r="BP8" s="35"/>
      <c r="BQ8" s="400"/>
      <c r="BR8" s="400"/>
      <c r="BS8" s="400"/>
      <c r="BT8" s="400"/>
      <c r="BU8" s="35"/>
      <c r="BV8" s="35"/>
      <c r="BW8" s="400"/>
      <c r="BX8" s="35"/>
      <c r="BY8" s="400"/>
      <c r="BZ8" s="35"/>
      <c r="CA8" s="35"/>
      <c r="CB8" s="35"/>
      <c r="CC8" s="35"/>
      <c r="CD8" s="35"/>
      <c r="CE8" s="400"/>
      <c r="CF8" s="35"/>
      <c r="CG8" s="35"/>
      <c r="CH8" s="222">
        <f t="shared" si="0"/>
        <v>0</v>
      </c>
      <c r="CI8" s="405">
        <f t="shared" si="1"/>
        <v>0</v>
      </c>
    </row>
    <row r="9" spans="1:87">
      <c r="A9" s="128" t="s">
        <v>383</v>
      </c>
      <c r="B9" s="35"/>
      <c r="C9" s="35"/>
      <c r="D9" s="35"/>
      <c r="E9" s="35"/>
      <c r="F9" s="35"/>
      <c r="G9" s="35"/>
      <c r="H9" s="35"/>
      <c r="I9" s="35"/>
      <c r="J9" s="400"/>
      <c r="K9" s="35"/>
      <c r="L9" s="400"/>
      <c r="M9" s="35"/>
      <c r="N9" s="400"/>
      <c r="O9" s="35"/>
      <c r="P9" s="400"/>
      <c r="Q9" s="35"/>
      <c r="R9" s="35"/>
      <c r="S9" s="35"/>
      <c r="T9" s="35"/>
      <c r="U9" s="35"/>
      <c r="V9" s="400"/>
      <c r="W9" s="35"/>
      <c r="X9" s="35"/>
      <c r="Y9" s="35"/>
      <c r="Z9" s="35"/>
      <c r="AA9" s="35"/>
      <c r="AB9" s="35"/>
      <c r="AC9" s="400"/>
      <c r="AD9" s="35"/>
      <c r="AE9" s="35"/>
      <c r="AF9" s="35"/>
      <c r="AG9" s="35"/>
      <c r="AH9" s="35"/>
      <c r="AI9" s="35"/>
      <c r="AJ9" s="35"/>
      <c r="AK9" s="35"/>
      <c r="AL9" s="35"/>
      <c r="AM9" s="35"/>
      <c r="AN9" s="35"/>
      <c r="AO9" s="400"/>
      <c r="AP9" s="35"/>
      <c r="AQ9" s="35">
        <v>1000</v>
      </c>
      <c r="AR9" s="35"/>
      <c r="AS9" s="35"/>
      <c r="AT9" s="400"/>
      <c r="AU9" s="35"/>
      <c r="AV9" s="35"/>
      <c r="AW9" s="35"/>
      <c r="AX9" s="400"/>
      <c r="AY9" s="400"/>
      <c r="AZ9" s="35"/>
      <c r="BA9" s="35"/>
      <c r="BB9" s="400"/>
      <c r="BC9" s="400"/>
      <c r="BD9" s="400"/>
      <c r="BE9" s="400"/>
      <c r="BF9" s="400"/>
      <c r="BG9" s="400"/>
      <c r="BH9" s="400"/>
      <c r="BI9" s="400"/>
      <c r="BJ9" s="400"/>
      <c r="BK9" s="35"/>
      <c r="BL9" s="400"/>
      <c r="BM9" s="400"/>
      <c r="BN9" s="35"/>
      <c r="BO9" s="400"/>
      <c r="BP9" s="35"/>
      <c r="BQ9" s="400"/>
      <c r="BR9" s="400"/>
      <c r="BS9" s="400"/>
      <c r="BT9" s="400"/>
      <c r="BU9" s="35"/>
      <c r="BV9" s="35"/>
      <c r="BW9" s="400"/>
      <c r="BX9" s="35"/>
      <c r="BY9" s="400"/>
      <c r="BZ9" s="35"/>
      <c r="CA9" s="35"/>
      <c r="CB9" s="35"/>
      <c r="CC9" s="35"/>
      <c r="CD9" s="35"/>
      <c r="CE9" s="400"/>
      <c r="CF9" s="35"/>
      <c r="CG9" s="35"/>
      <c r="CH9" s="222">
        <f t="shared" si="0"/>
        <v>1000</v>
      </c>
      <c r="CI9" s="405">
        <f t="shared" si="1"/>
        <v>0</v>
      </c>
    </row>
    <row r="10" spans="1:87">
      <c r="A10" s="128" t="s">
        <v>384</v>
      </c>
      <c r="B10" s="35">
        <v>3153.1</v>
      </c>
      <c r="C10" s="35"/>
      <c r="D10" s="35"/>
      <c r="E10" s="35"/>
      <c r="F10" s="35"/>
      <c r="G10" s="35"/>
      <c r="H10" s="35"/>
      <c r="I10" s="35"/>
      <c r="J10" s="400"/>
      <c r="K10" s="35"/>
      <c r="L10" s="400"/>
      <c r="M10" s="35"/>
      <c r="N10" s="400"/>
      <c r="O10" s="35"/>
      <c r="P10" s="400"/>
      <c r="Q10" s="35"/>
      <c r="R10" s="35"/>
      <c r="S10" s="35"/>
      <c r="T10" s="35">
        <v>2450.1</v>
      </c>
      <c r="U10" s="35"/>
      <c r="V10" s="400"/>
      <c r="W10" s="35"/>
      <c r="X10" s="35"/>
      <c r="Y10" s="35"/>
      <c r="Z10" s="35"/>
      <c r="AA10" s="35"/>
      <c r="AB10" s="35"/>
      <c r="AC10" s="400"/>
      <c r="AD10" s="35"/>
      <c r="AE10" s="35"/>
      <c r="AF10" s="35"/>
      <c r="AG10" s="35"/>
      <c r="AH10" s="35"/>
      <c r="AI10" s="35"/>
      <c r="AJ10" s="35"/>
      <c r="AK10" s="35"/>
      <c r="AL10" s="35"/>
      <c r="AM10" s="35">
        <f>2820.9+8854.7+20</f>
        <v>11695.6</v>
      </c>
      <c r="AN10" s="35"/>
      <c r="AO10" s="400"/>
      <c r="AP10" s="35"/>
      <c r="AQ10" s="35"/>
      <c r="AR10" s="35"/>
      <c r="AS10" s="35"/>
      <c r="AT10" s="400"/>
      <c r="AU10" s="35">
        <v>1954.5</v>
      </c>
      <c r="AV10" s="35">
        <f>127.034+15</f>
        <v>142.03399999999999</v>
      </c>
      <c r="AW10" s="35">
        <f>189.384</f>
        <v>189.38399999999999</v>
      </c>
      <c r="AX10" s="400"/>
      <c r="AY10" s="400"/>
      <c r="AZ10" s="35"/>
      <c r="BA10" s="35"/>
      <c r="BB10" s="400"/>
      <c r="BC10" s="400"/>
      <c r="BD10" s="400"/>
      <c r="BE10" s="400"/>
      <c r="BF10" s="400"/>
      <c r="BG10" s="400"/>
      <c r="BH10" s="400"/>
      <c r="BI10" s="400"/>
      <c r="BJ10" s="400"/>
      <c r="BK10" s="35"/>
      <c r="BL10" s="400"/>
      <c r="BM10" s="400"/>
      <c r="BN10" s="35"/>
      <c r="BO10" s="400"/>
      <c r="BP10" s="35"/>
      <c r="BQ10" s="400"/>
      <c r="BR10" s="400"/>
      <c r="BS10" s="400"/>
      <c r="BT10" s="400"/>
      <c r="BU10" s="35"/>
      <c r="BV10" s="35"/>
      <c r="BW10" s="400"/>
      <c r="BX10" s="35"/>
      <c r="BY10" s="400"/>
      <c r="BZ10" s="35"/>
      <c r="CA10" s="35"/>
      <c r="CB10" s="35"/>
      <c r="CC10" s="35"/>
      <c r="CD10" s="35"/>
      <c r="CE10" s="400"/>
      <c r="CF10" s="35"/>
      <c r="CG10" s="35"/>
      <c r="CH10" s="222">
        <f t="shared" si="0"/>
        <v>19584.717999999997</v>
      </c>
      <c r="CI10" s="405">
        <f t="shared" si="1"/>
        <v>0</v>
      </c>
    </row>
    <row r="11" spans="1:87">
      <c r="A11" s="128" t="s">
        <v>407</v>
      </c>
      <c r="B11" s="35"/>
      <c r="C11" s="35"/>
      <c r="D11" s="35"/>
      <c r="E11" s="35"/>
      <c r="F11" s="35"/>
      <c r="G11" s="35"/>
      <c r="H11" s="35"/>
      <c r="I11" s="35"/>
      <c r="J11" s="400"/>
      <c r="K11" s="35"/>
      <c r="L11" s="400"/>
      <c r="M11" s="35"/>
      <c r="N11" s="400"/>
      <c r="O11" s="35"/>
      <c r="P11" s="400"/>
      <c r="Q11" s="35"/>
      <c r="R11" s="35"/>
      <c r="S11" s="35"/>
      <c r="T11" s="35"/>
      <c r="U11" s="35"/>
      <c r="V11" s="400"/>
      <c r="W11" s="35"/>
      <c r="X11" s="35"/>
      <c r="Y11" s="35"/>
      <c r="Z11" s="35"/>
      <c r="AA11" s="35"/>
      <c r="AB11" s="35"/>
      <c r="AC11" s="400"/>
      <c r="AD11" s="35"/>
      <c r="AE11" s="35"/>
      <c r="AF11" s="35"/>
      <c r="AG11" s="35"/>
      <c r="AH11" s="35"/>
      <c r="AI11" s="35"/>
      <c r="AJ11" s="35"/>
      <c r="AK11" s="35"/>
      <c r="AL11" s="35"/>
      <c r="AM11" s="35"/>
      <c r="AN11" s="35"/>
      <c r="AO11" s="400"/>
      <c r="AP11" s="35"/>
      <c r="AQ11" s="35"/>
      <c r="AR11" s="35"/>
      <c r="AS11" s="35"/>
      <c r="AT11" s="400"/>
      <c r="AU11" s="35"/>
      <c r="AV11" s="35"/>
      <c r="AW11" s="35"/>
      <c r="AX11" s="400"/>
      <c r="AY11" s="400"/>
      <c r="AZ11" s="35"/>
      <c r="BA11" s="35"/>
      <c r="BB11" s="400"/>
      <c r="BC11" s="400"/>
      <c r="BD11" s="400"/>
      <c r="BE11" s="400"/>
      <c r="BF11" s="400"/>
      <c r="BG11" s="400"/>
      <c r="BH11" s="400"/>
      <c r="BI11" s="400"/>
      <c r="BJ11" s="400"/>
      <c r="BK11" s="35"/>
      <c r="BL11" s="400"/>
      <c r="BM11" s="400">
        <v>1266</v>
      </c>
      <c r="BN11" s="35"/>
      <c r="BO11" s="400"/>
      <c r="BP11" s="35"/>
      <c r="BQ11" s="400"/>
      <c r="BR11" s="400"/>
      <c r="BS11" s="400"/>
      <c r="BT11" s="400"/>
      <c r="BU11" s="35"/>
      <c r="BV11" s="35"/>
      <c r="BW11" s="400"/>
      <c r="BX11" s="35"/>
      <c r="BY11" s="400"/>
      <c r="BZ11" s="35"/>
      <c r="CA11" s="35"/>
      <c r="CB11" s="35"/>
      <c r="CC11" s="35"/>
      <c r="CD11" s="35"/>
      <c r="CE11" s="400"/>
      <c r="CF11" s="35"/>
      <c r="CG11" s="35"/>
      <c r="CH11" s="222">
        <f t="shared" si="0"/>
        <v>1266</v>
      </c>
      <c r="CI11" s="405">
        <f t="shared" si="1"/>
        <v>1266</v>
      </c>
    </row>
    <row r="12" spans="1:87">
      <c r="A12" s="128" t="s">
        <v>387</v>
      </c>
      <c r="B12" s="35"/>
      <c r="C12" s="35"/>
      <c r="D12" s="35"/>
      <c r="E12" s="35"/>
      <c r="F12" s="35"/>
      <c r="G12" s="35"/>
      <c r="H12" s="35"/>
      <c r="I12" s="35"/>
      <c r="J12" s="400"/>
      <c r="K12" s="35"/>
      <c r="L12" s="400"/>
      <c r="M12" s="35"/>
      <c r="N12" s="400"/>
      <c r="O12" s="35"/>
      <c r="P12" s="400"/>
      <c r="Q12" s="35"/>
      <c r="R12" s="35"/>
      <c r="S12" s="35"/>
      <c r="T12" s="35"/>
      <c r="U12" s="35"/>
      <c r="V12" s="400"/>
      <c r="W12" s="35"/>
      <c r="X12" s="35"/>
      <c r="Y12" s="35"/>
      <c r="Z12" s="35"/>
      <c r="AA12" s="35"/>
      <c r="AB12" s="35"/>
      <c r="AC12" s="400"/>
      <c r="AD12" s="35"/>
      <c r="AE12" s="35"/>
      <c r="AF12" s="35"/>
      <c r="AG12" s="35"/>
      <c r="AH12" s="35"/>
      <c r="AI12" s="35"/>
      <c r="AJ12" s="35"/>
      <c r="AK12" s="35"/>
      <c r="AL12" s="35"/>
      <c r="AM12" s="35"/>
      <c r="AN12" s="35"/>
      <c r="AO12" s="400"/>
      <c r="AP12" s="35"/>
      <c r="AQ12" s="35"/>
      <c r="AR12" s="35"/>
      <c r="AS12" s="35"/>
      <c r="AT12" s="400"/>
      <c r="AU12" s="35"/>
      <c r="AV12" s="35"/>
      <c r="AW12" s="35"/>
      <c r="AX12" s="400"/>
      <c r="AY12" s="400"/>
      <c r="AZ12" s="35"/>
      <c r="BA12" s="35"/>
      <c r="BB12" s="400"/>
      <c r="BC12" s="400"/>
      <c r="BD12" s="400"/>
      <c r="BE12" s="400"/>
      <c r="BF12" s="400"/>
      <c r="BG12" s="400"/>
      <c r="BH12" s="400"/>
      <c r="BI12" s="400"/>
      <c r="BJ12" s="400"/>
      <c r="BK12" s="35"/>
      <c r="BL12" s="400"/>
      <c r="BM12" s="400"/>
      <c r="BN12" s="35"/>
      <c r="BO12" s="400"/>
      <c r="BP12" s="35"/>
      <c r="BQ12" s="400"/>
      <c r="BR12" s="400"/>
      <c r="BS12" s="400"/>
      <c r="BT12" s="400"/>
      <c r="BU12" s="35"/>
      <c r="BV12" s="35"/>
      <c r="BW12" s="400"/>
      <c r="BX12" s="35"/>
      <c r="BY12" s="400"/>
      <c r="BZ12" s="35"/>
      <c r="CA12" s="35"/>
      <c r="CB12" s="35"/>
      <c r="CC12" s="35"/>
      <c r="CD12" s="35"/>
      <c r="CE12" s="400"/>
      <c r="CF12" s="35"/>
      <c r="CG12" s="35"/>
      <c r="CH12" s="222">
        <f t="shared" si="0"/>
        <v>0</v>
      </c>
      <c r="CI12" s="405">
        <f t="shared" si="1"/>
        <v>0</v>
      </c>
    </row>
    <row r="13" spans="1:87">
      <c r="A13" s="128" t="s">
        <v>408</v>
      </c>
      <c r="B13" s="35"/>
      <c r="C13" s="35"/>
      <c r="D13" s="35"/>
      <c r="E13" s="35"/>
      <c r="F13" s="35"/>
      <c r="G13" s="35">
        <f>150+158.1</f>
        <v>308.10000000000002</v>
      </c>
      <c r="H13" s="35"/>
      <c r="I13" s="35"/>
      <c r="J13" s="400"/>
      <c r="K13" s="35"/>
      <c r="L13" s="400"/>
      <c r="M13" s="35"/>
      <c r="N13" s="400"/>
      <c r="O13" s="35"/>
      <c r="P13" s="400"/>
      <c r="Q13" s="35"/>
      <c r="R13" s="35"/>
      <c r="S13" s="35"/>
      <c r="T13" s="35"/>
      <c r="U13" s="35"/>
      <c r="V13" s="400"/>
      <c r="W13" s="35"/>
      <c r="X13" s="35"/>
      <c r="Y13" s="35"/>
      <c r="Z13" s="35"/>
      <c r="AA13" s="35"/>
      <c r="AB13" s="35"/>
      <c r="AC13" s="400"/>
      <c r="AD13" s="35"/>
      <c r="AE13" s="35"/>
      <c r="AF13" s="35"/>
      <c r="AG13" s="35"/>
      <c r="AH13" s="35"/>
      <c r="AI13" s="35"/>
      <c r="AJ13" s="35"/>
      <c r="AK13" s="35"/>
      <c r="AL13" s="35"/>
      <c r="AM13" s="35"/>
      <c r="AN13" s="35"/>
      <c r="AO13" s="400"/>
      <c r="AP13" s="35"/>
      <c r="AQ13" s="35"/>
      <c r="AR13" s="35"/>
      <c r="AS13" s="35"/>
      <c r="AT13" s="400"/>
      <c r="AU13" s="35"/>
      <c r="AV13" s="35"/>
      <c r="AW13" s="35"/>
      <c r="AX13" s="400"/>
      <c r="AY13" s="400"/>
      <c r="AZ13" s="35"/>
      <c r="BA13" s="35"/>
      <c r="BB13" s="400"/>
      <c r="BC13" s="400"/>
      <c r="BD13" s="400"/>
      <c r="BE13" s="400"/>
      <c r="BF13" s="400"/>
      <c r="BG13" s="400"/>
      <c r="BH13" s="400"/>
      <c r="BI13" s="400"/>
      <c r="BJ13" s="400"/>
      <c r="BK13" s="35"/>
      <c r="BL13" s="400"/>
      <c r="BM13" s="400"/>
      <c r="BN13" s="35"/>
      <c r="BO13" s="400"/>
      <c r="BP13" s="35"/>
      <c r="BQ13" s="400"/>
      <c r="BR13" s="400"/>
      <c r="BS13" s="400"/>
      <c r="BT13" s="400"/>
      <c r="BU13" s="35"/>
      <c r="BV13" s="35"/>
      <c r="BW13" s="400"/>
      <c r="BX13" s="35"/>
      <c r="BY13" s="400"/>
      <c r="BZ13" s="35"/>
      <c r="CA13" s="35"/>
      <c r="CB13" s="35"/>
      <c r="CC13" s="35"/>
      <c r="CD13" s="35"/>
      <c r="CE13" s="400"/>
      <c r="CF13" s="35"/>
      <c r="CG13" s="35"/>
      <c r="CH13" s="222">
        <f t="shared" si="0"/>
        <v>308.10000000000002</v>
      </c>
      <c r="CI13" s="405">
        <f t="shared" si="1"/>
        <v>0</v>
      </c>
    </row>
    <row r="14" spans="1:87">
      <c r="A14" s="128" t="s">
        <v>410</v>
      </c>
      <c r="B14" s="35"/>
      <c r="C14" s="35"/>
      <c r="D14" s="35"/>
      <c r="E14" s="35"/>
      <c r="F14" s="35"/>
      <c r="G14" s="35"/>
      <c r="H14" s="35"/>
      <c r="I14" s="35"/>
      <c r="J14" s="400"/>
      <c r="K14" s="35"/>
      <c r="L14" s="400"/>
      <c r="M14" s="35"/>
      <c r="N14" s="400"/>
      <c r="O14" s="35"/>
      <c r="P14" s="400"/>
      <c r="Q14" s="35"/>
      <c r="R14" s="35"/>
      <c r="S14" s="35"/>
      <c r="T14" s="35"/>
      <c r="U14" s="35"/>
      <c r="V14" s="400"/>
      <c r="W14" s="35"/>
      <c r="X14" s="35"/>
      <c r="Y14" s="35"/>
      <c r="Z14" s="35"/>
      <c r="AA14" s="35"/>
      <c r="AB14" s="35"/>
      <c r="AC14" s="400"/>
      <c r="AD14" s="35"/>
      <c r="AE14" s="35"/>
      <c r="AF14" s="35"/>
      <c r="AG14" s="35"/>
      <c r="AH14" s="35"/>
      <c r="AI14" s="35"/>
      <c r="AJ14" s="35"/>
      <c r="AK14" s="35"/>
      <c r="AL14" s="35"/>
      <c r="AM14" s="35"/>
      <c r="AN14" s="35"/>
      <c r="AO14" s="400"/>
      <c r="AP14" s="35"/>
      <c r="AQ14" s="35"/>
      <c r="AR14" s="35"/>
      <c r="AS14" s="35"/>
      <c r="AT14" s="400"/>
      <c r="AU14" s="35"/>
      <c r="AV14" s="35"/>
      <c r="AW14" s="35"/>
      <c r="AX14" s="400"/>
      <c r="AY14" s="400"/>
      <c r="AZ14" s="35"/>
      <c r="BA14" s="35"/>
      <c r="BB14" s="400">
        <v>50.863</v>
      </c>
      <c r="BC14" s="400">
        <v>161.137</v>
      </c>
      <c r="BD14" s="400"/>
      <c r="BE14" s="400"/>
      <c r="BF14" s="400"/>
      <c r="BG14" s="400"/>
      <c r="BH14" s="400"/>
      <c r="BI14" s="400"/>
      <c r="BJ14" s="400"/>
      <c r="BK14" s="35"/>
      <c r="BL14" s="400"/>
      <c r="BM14" s="400"/>
      <c r="BN14" s="35"/>
      <c r="BO14" s="400"/>
      <c r="BP14" s="35"/>
      <c r="BQ14" s="400"/>
      <c r="BR14" s="400"/>
      <c r="BS14" s="400"/>
      <c r="BT14" s="400"/>
      <c r="BU14" s="35"/>
      <c r="BV14" s="35"/>
      <c r="BW14" s="400"/>
      <c r="BX14" s="35"/>
      <c r="BY14" s="400"/>
      <c r="BZ14" s="35"/>
      <c r="CA14" s="35"/>
      <c r="CB14" s="35"/>
      <c r="CC14" s="35"/>
      <c r="CD14" s="35"/>
      <c r="CE14" s="400"/>
      <c r="CF14" s="35"/>
      <c r="CG14" s="35"/>
      <c r="CH14" s="222">
        <f t="shared" si="0"/>
        <v>212</v>
      </c>
      <c r="CI14" s="405">
        <f t="shared" si="1"/>
        <v>212</v>
      </c>
    </row>
    <row r="15" spans="1:87">
      <c r="A15" s="128" t="s">
        <v>389</v>
      </c>
      <c r="B15" s="35"/>
      <c r="C15" s="35"/>
      <c r="D15" s="35"/>
      <c r="E15" s="35"/>
      <c r="F15" s="35"/>
      <c r="G15" s="35"/>
      <c r="H15" s="35"/>
      <c r="I15" s="35"/>
      <c r="J15" s="400"/>
      <c r="K15" s="35"/>
      <c r="L15" s="400"/>
      <c r="M15" s="35"/>
      <c r="N15" s="400"/>
      <c r="O15" s="35"/>
      <c r="P15" s="400"/>
      <c r="Q15" s="35"/>
      <c r="R15" s="35"/>
      <c r="S15" s="35"/>
      <c r="T15" s="35"/>
      <c r="U15" s="35"/>
      <c r="V15" s="400"/>
      <c r="W15" s="35"/>
      <c r="X15" s="35"/>
      <c r="Y15" s="35">
        <v>355</v>
      </c>
      <c r="Z15" s="35"/>
      <c r="AA15" s="35"/>
      <c r="AB15" s="35"/>
      <c r="AC15" s="400"/>
      <c r="AD15" s="35"/>
      <c r="AE15" s="35"/>
      <c r="AF15" s="35"/>
      <c r="AG15" s="35"/>
      <c r="AH15" s="35"/>
      <c r="AI15" s="35"/>
      <c r="AJ15" s="35"/>
      <c r="AK15" s="35"/>
      <c r="AL15" s="35"/>
      <c r="AM15" s="35"/>
      <c r="AN15" s="35"/>
      <c r="AO15" s="400"/>
      <c r="AP15" s="35"/>
      <c r="AQ15" s="35"/>
      <c r="AR15" s="35"/>
      <c r="AS15" s="35"/>
      <c r="AT15" s="400"/>
      <c r="AU15" s="35"/>
      <c r="AV15" s="35"/>
      <c r="AW15" s="35"/>
      <c r="AX15" s="400"/>
      <c r="AY15" s="400"/>
      <c r="AZ15" s="35"/>
      <c r="BA15" s="35"/>
      <c r="BB15" s="400">
        <f>579.104+12.94</f>
        <v>592.0440000000001</v>
      </c>
      <c r="BC15" s="400">
        <f>1339.896+42.86</f>
        <v>1382.7559999999999</v>
      </c>
      <c r="BD15" s="400">
        <f>74.9+365.7+7609.5+400+1000+310.7</f>
        <v>9760.8000000000011</v>
      </c>
      <c r="BE15" s="400"/>
      <c r="BF15" s="400"/>
      <c r="BG15" s="400"/>
      <c r="BH15" s="400">
        <v>641.79999999999995</v>
      </c>
      <c r="BI15" s="400"/>
      <c r="BJ15" s="400"/>
      <c r="BK15" s="35"/>
      <c r="BL15" s="400"/>
      <c r="BM15" s="400"/>
      <c r="BN15" s="35"/>
      <c r="BO15" s="400"/>
      <c r="BP15" s="35"/>
      <c r="BQ15" s="400"/>
      <c r="BR15" s="400"/>
      <c r="BS15" s="400"/>
      <c r="BT15" s="400"/>
      <c r="BU15" s="35"/>
      <c r="BV15" s="35"/>
      <c r="BW15" s="400"/>
      <c r="BX15" s="35"/>
      <c r="BY15" s="400"/>
      <c r="BZ15" s="35"/>
      <c r="CA15" s="35"/>
      <c r="CB15" s="35"/>
      <c r="CC15" s="35"/>
      <c r="CD15" s="35"/>
      <c r="CE15" s="400">
        <v>43.8</v>
      </c>
      <c r="CF15" s="35"/>
      <c r="CG15" s="35"/>
      <c r="CH15" s="222">
        <f t="shared" si="0"/>
        <v>12776.2</v>
      </c>
      <c r="CI15" s="405">
        <f t="shared" si="1"/>
        <v>12421.199999999999</v>
      </c>
    </row>
    <row r="16" spans="1:87">
      <c r="A16" s="128" t="s">
        <v>390</v>
      </c>
      <c r="B16" s="35"/>
      <c r="C16" s="35"/>
      <c r="D16" s="35"/>
      <c r="E16" s="35"/>
      <c r="F16" s="35"/>
      <c r="G16" s="35"/>
      <c r="H16" s="35"/>
      <c r="I16" s="35"/>
      <c r="J16" s="400"/>
      <c r="K16" s="35"/>
      <c r="L16" s="400"/>
      <c r="M16" s="35"/>
      <c r="N16" s="400"/>
      <c r="O16" s="35"/>
      <c r="P16" s="400"/>
      <c r="Q16" s="35"/>
      <c r="R16" s="35"/>
      <c r="S16" s="35"/>
      <c r="T16" s="35"/>
      <c r="U16" s="35"/>
      <c r="V16" s="400"/>
      <c r="W16" s="35"/>
      <c r="X16" s="35">
        <v>500</v>
      </c>
      <c r="Y16" s="35"/>
      <c r="Z16" s="35"/>
      <c r="AA16" s="35"/>
      <c r="AB16" s="35"/>
      <c r="AC16" s="400"/>
      <c r="AD16" s="35"/>
      <c r="AE16" s="35"/>
      <c r="AF16" s="35"/>
      <c r="AG16" s="35"/>
      <c r="AH16" s="35"/>
      <c r="AI16" s="35"/>
      <c r="AJ16" s="35"/>
      <c r="AK16" s="35"/>
      <c r="AL16" s="35"/>
      <c r="AM16" s="35"/>
      <c r="AN16" s="35"/>
      <c r="AO16" s="400"/>
      <c r="AP16" s="35"/>
      <c r="AQ16" s="35"/>
      <c r="AR16" s="35"/>
      <c r="AS16" s="35"/>
      <c r="AT16" s="400"/>
      <c r="AU16" s="35"/>
      <c r="AV16" s="35"/>
      <c r="AW16" s="35"/>
      <c r="AX16" s="400"/>
      <c r="AY16" s="400"/>
      <c r="AZ16" s="35"/>
      <c r="BA16" s="35"/>
      <c r="BB16" s="400"/>
      <c r="BC16" s="400"/>
      <c r="BD16" s="400"/>
      <c r="BE16" s="400"/>
      <c r="BF16" s="400"/>
      <c r="BG16" s="400"/>
      <c r="BH16" s="400"/>
      <c r="BI16" s="400"/>
      <c r="BJ16" s="400"/>
      <c r="BK16" s="35"/>
      <c r="BL16" s="400"/>
      <c r="BM16" s="400"/>
      <c r="BN16" s="35"/>
      <c r="BO16" s="400"/>
      <c r="BP16" s="35"/>
      <c r="BQ16" s="400"/>
      <c r="BR16" s="400"/>
      <c r="BS16" s="400"/>
      <c r="BT16" s="400"/>
      <c r="BU16" s="35"/>
      <c r="BV16" s="35"/>
      <c r="BW16" s="400"/>
      <c r="BX16" s="35"/>
      <c r="BY16" s="400"/>
      <c r="BZ16" s="35"/>
      <c r="CA16" s="35"/>
      <c r="CB16" s="35"/>
      <c r="CC16" s="35"/>
      <c r="CD16" s="35"/>
      <c r="CE16" s="400"/>
      <c r="CF16" s="35"/>
      <c r="CG16" s="35"/>
      <c r="CH16" s="222">
        <f t="shared" si="0"/>
        <v>500</v>
      </c>
      <c r="CI16" s="405">
        <f t="shared" si="1"/>
        <v>0</v>
      </c>
    </row>
    <row r="17" spans="1:87">
      <c r="A17" s="128" t="s">
        <v>391</v>
      </c>
      <c r="B17" s="35"/>
      <c r="C17" s="35"/>
      <c r="D17" s="35"/>
      <c r="E17" s="35">
        <f>3216.2</f>
        <v>3216.2</v>
      </c>
      <c r="F17" s="35">
        <v>3356.2</v>
      </c>
      <c r="G17" s="35"/>
      <c r="H17" s="35"/>
      <c r="I17" s="35"/>
      <c r="J17" s="400"/>
      <c r="K17" s="35"/>
      <c r="L17" s="400"/>
      <c r="M17" s="35"/>
      <c r="N17" s="400"/>
      <c r="O17" s="35"/>
      <c r="P17" s="400"/>
      <c r="Q17" s="35"/>
      <c r="R17" s="35"/>
      <c r="S17" s="35"/>
      <c r="T17" s="35"/>
      <c r="U17" s="35"/>
      <c r="V17" s="400"/>
      <c r="W17" s="35"/>
      <c r="X17" s="35"/>
      <c r="Y17" s="35"/>
      <c r="Z17" s="35"/>
      <c r="AA17" s="35"/>
      <c r="AB17" s="35"/>
      <c r="AC17" s="400"/>
      <c r="AD17" s="35"/>
      <c r="AE17" s="35"/>
      <c r="AF17" s="35"/>
      <c r="AG17" s="35"/>
      <c r="AH17" s="35"/>
      <c r="AI17" s="35"/>
      <c r="AJ17" s="35"/>
      <c r="AK17" s="35"/>
      <c r="AL17" s="35"/>
      <c r="AM17" s="35"/>
      <c r="AN17" s="35"/>
      <c r="AO17" s="400"/>
      <c r="AP17" s="35"/>
      <c r="AQ17" s="35"/>
      <c r="AR17" s="35"/>
      <c r="AS17" s="35"/>
      <c r="AT17" s="400"/>
      <c r="AU17" s="35"/>
      <c r="AV17" s="35"/>
      <c r="AW17" s="35"/>
      <c r="AX17" s="400"/>
      <c r="AY17" s="400"/>
      <c r="AZ17" s="35"/>
      <c r="BA17" s="35"/>
      <c r="BB17" s="400"/>
      <c r="BC17" s="400"/>
      <c r="BD17" s="400"/>
      <c r="BE17" s="400"/>
      <c r="BF17" s="400"/>
      <c r="BG17" s="400"/>
      <c r="BH17" s="400"/>
      <c r="BI17" s="400"/>
      <c r="BJ17" s="400"/>
      <c r="BK17" s="35"/>
      <c r="BL17" s="400"/>
      <c r="BM17" s="400"/>
      <c r="BN17" s="35"/>
      <c r="BO17" s="400"/>
      <c r="BP17" s="35"/>
      <c r="BQ17" s="400"/>
      <c r="BR17" s="400"/>
      <c r="BS17" s="400"/>
      <c r="BT17" s="400">
        <v>12000</v>
      </c>
      <c r="BU17" s="35"/>
      <c r="BV17" s="35"/>
      <c r="BW17" s="400"/>
      <c r="BX17" s="35"/>
      <c r="BY17" s="400"/>
      <c r="BZ17" s="35"/>
      <c r="CA17" s="35"/>
      <c r="CB17" s="35"/>
      <c r="CC17" s="35"/>
      <c r="CD17" s="35"/>
      <c r="CE17" s="400"/>
      <c r="CF17" s="35"/>
      <c r="CG17" s="35"/>
      <c r="CH17" s="222">
        <f t="shared" si="0"/>
        <v>18572.400000000001</v>
      </c>
      <c r="CI17" s="405">
        <f t="shared" si="1"/>
        <v>12000</v>
      </c>
    </row>
    <row r="18" spans="1:87">
      <c r="A18" s="128" t="s">
        <v>392</v>
      </c>
      <c r="B18" s="35"/>
      <c r="C18" s="35"/>
      <c r="D18" s="35">
        <v>3588.3</v>
      </c>
      <c r="E18" s="35"/>
      <c r="F18" s="35"/>
      <c r="G18" s="35"/>
      <c r="H18" s="35"/>
      <c r="I18" s="35"/>
      <c r="J18" s="400"/>
      <c r="K18" s="35"/>
      <c r="L18" s="400"/>
      <c r="M18" s="35"/>
      <c r="N18" s="400"/>
      <c r="O18" s="35"/>
      <c r="P18" s="400"/>
      <c r="Q18" s="35"/>
      <c r="R18" s="35"/>
      <c r="S18" s="35"/>
      <c r="T18" s="35"/>
      <c r="U18" s="35"/>
      <c r="V18" s="400"/>
      <c r="W18" s="35"/>
      <c r="X18" s="35"/>
      <c r="Y18" s="35"/>
      <c r="Z18" s="35"/>
      <c r="AA18" s="35"/>
      <c r="AB18" s="35"/>
      <c r="AC18" s="400"/>
      <c r="AD18" s="35"/>
      <c r="AE18" s="35"/>
      <c r="AF18" s="35"/>
      <c r="AG18" s="35"/>
      <c r="AH18" s="35"/>
      <c r="AI18" s="35"/>
      <c r="AJ18" s="35"/>
      <c r="AK18" s="35"/>
      <c r="AL18" s="35"/>
      <c r="AM18" s="35"/>
      <c r="AN18" s="35"/>
      <c r="AO18" s="400"/>
      <c r="AP18" s="35"/>
      <c r="AQ18" s="35"/>
      <c r="AR18" s="35"/>
      <c r="AS18" s="35"/>
      <c r="AT18" s="400"/>
      <c r="AU18" s="35"/>
      <c r="AV18" s="35"/>
      <c r="AW18" s="35"/>
      <c r="AX18" s="400"/>
      <c r="AY18" s="400"/>
      <c r="AZ18" s="35"/>
      <c r="BA18" s="35"/>
      <c r="BB18" s="400"/>
      <c r="BC18" s="400"/>
      <c r="BD18" s="400"/>
      <c r="BE18" s="400"/>
      <c r="BF18" s="400"/>
      <c r="BG18" s="400"/>
      <c r="BH18" s="400"/>
      <c r="BI18" s="400"/>
      <c r="BJ18" s="400"/>
      <c r="BK18" s="35"/>
      <c r="BL18" s="400"/>
      <c r="BM18" s="400"/>
      <c r="BN18" s="35"/>
      <c r="BO18" s="400"/>
      <c r="BP18" s="35"/>
      <c r="BQ18" s="400"/>
      <c r="BR18" s="400">
        <v>39514</v>
      </c>
      <c r="BS18" s="400"/>
      <c r="BT18" s="400"/>
      <c r="BU18" s="35"/>
      <c r="BV18" s="35"/>
      <c r="BW18" s="400"/>
      <c r="BX18" s="35"/>
      <c r="BY18" s="400"/>
      <c r="BZ18" s="35"/>
      <c r="CA18" s="35"/>
      <c r="CB18" s="35"/>
      <c r="CC18" s="35"/>
      <c r="CD18" s="35"/>
      <c r="CE18" s="400"/>
      <c r="CF18" s="35"/>
      <c r="CG18" s="35"/>
      <c r="CH18" s="222">
        <f t="shared" si="0"/>
        <v>43102.3</v>
      </c>
      <c r="CI18" s="405">
        <f t="shared" si="1"/>
        <v>39514</v>
      </c>
    </row>
    <row r="19" spans="1:87">
      <c r="A19" s="128" t="s">
        <v>766</v>
      </c>
      <c r="B19" s="35"/>
      <c r="C19" s="35"/>
      <c r="D19" s="35"/>
      <c r="E19" s="35"/>
      <c r="F19" s="35"/>
      <c r="G19" s="35"/>
      <c r="H19" s="35"/>
      <c r="I19" s="35"/>
      <c r="J19" s="400"/>
      <c r="K19" s="35"/>
      <c r="L19" s="400"/>
      <c r="M19" s="35"/>
      <c r="N19" s="400"/>
      <c r="O19" s="35"/>
      <c r="P19" s="400"/>
      <c r="Q19" s="35"/>
      <c r="R19" s="35"/>
      <c r="S19" s="35"/>
      <c r="T19" s="35"/>
      <c r="U19" s="35"/>
      <c r="V19" s="400"/>
      <c r="W19" s="35"/>
      <c r="X19" s="35"/>
      <c r="Y19" s="35"/>
      <c r="Z19" s="35"/>
      <c r="AA19" s="35"/>
      <c r="AB19" s="35"/>
      <c r="AC19" s="400"/>
      <c r="AD19" s="35"/>
      <c r="AE19" s="35"/>
      <c r="AF19" s="35"/>
      <c r="AG19" s="35"/>
      <c r="AH19" s="35"/>
      <c r="AI19" s="35"/>
      <c r="AJ19" s="35"/>
      <c r="AK19" s="35"/>
      <c r="AL19" s="35"/>
      <c r="AM19" s="35"/>
      <c r="AN19" s="35"/>
      <c r="AO19" s="400"/>
      <c r="AP19" s="35"/>
      <c r="AQ19" s="35"/>
      <c r="AR19" s="35"/>
      <c r="AS19" s="35"/>
      <c r="AT19" s="400"/>
      <c r="AU19" s="35"/>
      <c r="AV19" s="35"/>
      <c r="AW19" s="35"/>
      <c r="AX19" s="400"/>
      <c r="AY19" s="400"/>
      <c r="AZ19" s="35"/>
      <c r="BA19" s="35"/>
      <c r="BB19" s="400"/>
      <c r="BC19" s="400"/>
      <c r="BD19" s="400"/>
      <c r="BE19" s="400"/>
      <c r="BF19" s="400"/>
      <c r="BG19" s="400"/>
      <c r="BH19" s="400"/>
      <c r="BI19" s="400"/>
      <c r="BJ19" s="400"/>
      <c r="BK19" s="35"/>
      <c r="BL19" s="400"/>
      <c r="BM19" s="400"/>
      <c r="BN19" s="35"/>
      <c r="BO19" s="400"/>
      <c r="BP19" s="35"/>
      <c r="BQ19" s="400"/>
      <c r="BR19" s="400"/>
      <c r="BS19" s="400"/>
      <c r="BT19" s="400"/>
      <c r="BU19" s="35"/>
      <c r="BV19" s="35"/>
      <c r="BW19" s="400"/>
      <c r="BX19" s="35"/>
      <c r="BY19" s="400"/>
      <c r="BZ19" s="35"/>
      <c r="CA19" s="35"/>
      <c r="CB19" s="35"/>
      <c r="CC19" s="35"/>
      <c r="CD19" s="35"/>
      <c r="CE19" s="400"/>
      <c r="CF19" s="35"/>
      <c r="CG19" s="35"/>
      <c r="CH19" s="222">
        <f t="shared" si="0"/>
        <v>0</v>
      </c>
      <c r="CI19" s="405">
        <f t="shared" si="1"/>
        <v>0</v>
      </c>
    </row>
    <row r="20" spans="1:87">
      <c r="A20" s="128" t="s">
        <v>394</v>
      </c>
      <c r="B20" s="35"/>
      <c r="C20" s="35"/>
      <c r="D20" s="35"/>
      <c r="E20" s="35"/>
      <c r="F20" s="35"/>
      <c r="G20" s="35"/>
      <c r="H20" s="35"/>
      <c r="I20" s="35"/>
      <c r="J20" s="400"/>
      <c r="K20" s="35"/>
      <c r="L20" s="400"/>
      <c r="M20" s="35"/>
      <c r="N20" s="400"/>
      <c r="O20" s="35"/>
      <c r="P20" s="400"/>
      <c r="Q20" s="35"/>
      <c r="R20" s="35"/>
      <c r="S20" s="35"/>
      <c r="T20" s="35"/>
      <c r="U20" s="35"/>
      <c r="V20" s="400"/>
      <c r="W20" s="35"/>
      <c r="X20" s="35"/>
      <c r="Y20" s="35"/>
      <c r="Z20" s="35">
        <v>550</v>
      </c>
      <c r="AA20" s="35"/>
      <c r="AB20" s="35"/>
      <c r="AC20" s="400"/>
      <c r="AD20" s="35"/>
      <c r="AE20" s="35"/>
      <c r="AF20" s="35"/>
      <c r="AG20" s="35"/>
      <c r="AH20" s="35"/>
      <c r="AI20" s="35"/>
      <c r="AJ20" s="35"/>
      <c r="AK20" s="35"/>
      <c r="AL20" s="35"/>
      <c r="AM20" s="35"/>
      <c r="AN20" s="35"/>
      <c r="AO20" s="400"/>
      <c r="AP20" s="35"/>
      <c r="AQ20" s="35"/>
      <c r="AR20" s="35"/>
      <c r="AS20" s="35"/>
      <c r="AT20" s="400"/>
      <c r="AU20" s="35"/>
      <c r="AV20" s="35"/>
      <c r="AW20" s="35"/>
      <c r="AX20" s="400"/>
      <c r="AY20" s="400"/>
      <c r="AZ20" s="35"/>
      <c r="BA20" s="35"/>
      <c r="BB20" s="400"/>
      <c r="BC20" s="400"/>
      <c r="BD20" s="400"/>
      <c r="BE20" s="400"/>
      <c r="BF20" s="400"/>
      <c r="BG20" s="400"/>
      <c r="BH20" s="400"/>
      <c r="BI20" s="400"/>
      <c r="BJ20" s="400"/>
      <c r="BK20" s="35"/>
      <c r="BL20" s="400"/>
      <c r="BM20" s="400"/>
      <c r="BN20" s="35"/>
      <c r="BO20" s="400"/>
      <c r="BP20" s="35"/>
      <c r="BQ20" s="400"/>
      <c r="BR20" s="400"/>
      <c r="BS20" s="400"/>
      <c r="BT20" s="400"/>
      <c r="BU20" s="35"/>
      <c r="BV20" s="35"/>
      <c r="BW20" s="400"/>
      <c r="BX20" s="35"/>
      <c r="BY20" s="400"/>
      <c r="BZ20" s="35"/>
      <c r="CA20" s="35"/>
      <c r="CB20" s="35"/>
      <c r="CC20" s="35"/>
      <c r="CD20" s="35"/>
      <c r="CE20" s="400"/>
      <c r="CF20" s="35"/>
      <c r="CG20" s="35"/>
      <c r="CH20" s="222">
        <f t="shared" si="0"/>
        <v>550</v>
      </c>
      <c r="CI20" s="405">
        <f t="shared" si="1"/>
        <v>0</v>
      </c>
    </row>
    <row r="21" spans="1:87">
      <c r="A21" s="128" t="s">
        <v>409</v>
      </c>
      <c r="B21" s="35"/>
      <c r="C21" s="35"/>
      <c r="D21" s="35"/>
      <c r="E21" s="35"/>
      <c r="F21" s="35"/>
      <c r="G21" s="35"/>
      <c r="H21" s="35"/>
      <c r="I21" s="35"/>
      <c r="J21" s="400"/>
      <c r="K21" s="35"/>
      <c r="L21" s="400"/>
      <c r="M21" s="35"/>
      <c r="N21" s="400"/>
      <c r="O21" s="35"/>
      <c r="P21" s="400"/>
      <c r="Q21" s="35"/>
      <c r="R21" s="35"/>
      <c r="S21" s="35"/>
      <c r="T21" s="35"/>
      <c r="U21" s="35"/>
      <c r="V21" s="400"/>
      <c r="W21" s="35"/>
      <c r="X21" s="35"/>
      <c r="Y21" s="35"/>
      <c r="Z21" s="35"/>
      <c r="AA21" s="35"/>
      <c r="AB21" s="35"/>
      <c r="AC21" s="400"/>
      <c r="AD21" s="35"/>
      <c r="AE21" s="35"/>
      <c r="AF21" s="35"/>
      <c r="AG21" s="35"/>
      <c r="AH21" s="35"/>
      <c r="AI21" s="35"/>
      <c r="AJ21" s="35"/>
      <c r="AK21" s="35"/>
      <c r="AL21" s="35"/>
      <c r="AM21" s="35"/>
      <c r="AN21" s="35"/>
      <c r="AO21" s="400"/>
      <c r="AP21" s="35"/>
      <c r="AQ21" s="35"/>
      <c r="AR21" s="35"/>
      <c r="AS21" s="35"/>
      <c r="AT21" s="400"/>
      <c r="AU21" s="35"/>
      <c r="AV21" s="35"/>
      <c r="AW21" s="35"/>
      <c r="AX21" s="400"/>
      <c r="AY21" s="400"/>
      <c r="AZ21" s="35"/>
      <c r="BA21" s="35"/>
      <c r="BB21" s="400"/>
      <c r="BC21" s="400"/>
      <c r="BD21" s="400"/>
      <c r="BE21" s="400"/>
      <c r="BF21" s="400"/>
      <c r="BG21" s="400"/>
      <c r="BH21" s="400"/>
      <c r="BI21" s="400"/>
      <c r="BJ21" s="400"/>
      <c r="BK21" s="35"/>
      <c r="BL21" s="400"/>
      <c r="BM21" s="400"/>
      <c r="BN21" s="35"/>
      <c r="BO21" s="400"/>
      <c r="BP21" s="35"/>
      <c r="BQ21" s="400"/>
      <c r="BR21" s="400"/>
      <c r="BS21" s="400">
        <v>128</v>
      </c>
      <c r="BT21" s="400"/>
      <c r="BU21" s="35"/>
      <c r="BV21" s="35"/>
      <c r="BW21" s="400"/>
      <c r="BX21" s="35"/>
      <c r="BY21" s="400"/>
      <c r="BZ21" s="35"/>
      <c r="CA21" s="35"/>
      <c r="CB21" s="35"/>
      <c r="CC21" s="35"/>
      <c r="CD21" s="35"/>
      <c r="CE21" s="400"/>
      <c r="CF21" s="35"/>
      <c r="CG21" s="35"/>
      <c r="CH21" s="222">
        <f t="shared" si="0"/>
        <v>128</v>
      </c>
      <c r="CI21" s="405">
        <f t="shared" si="1"/>
        <v>128</v>
      </c>
    </row>
    <row r="22" spans="1:87">
      <c r="A22" s="128" t="s">
        <v>395</v>
      </c>
      <c r="B22" s="35"/>
      <c r="C22" s="35"/>
      <c r="D22" s="35"/>
      <c r="E22" s="35"/>
      <c r="F22" s="35"/>
      <c r="G22" s="35"/>
      <c r="H22" s="35"/>
      <c r="I22" s="35"/>
      <c r="J22" s="400"/>
      <c r="K22" s="35"/>
      <c r="L22" s="400"/>
      <c r="M22" s="35"/>
      <c r="N22" s="400"/>
      <c r="O22" s="35"/>
      <c r="P22" s="400"/>
      <c r="Q22" s="35"/>
      <c r="R22" s="35"/>
      <c r="S22" s="35"/>
      <c r="T22" s="35"/>
      <c r="U22" s="35"/>
      <c r="V22" s="400"/>
      <c r="W22" s="35"/>
      <c r="X22" s="35"/>
      <c r="Y22" s="35"/>
      <c r="Z22" s="35"/>
      <c r="AA22" s="35"/>
      <c r="AB22" s="35"/>
      <c r="AC22" s="400"/>
      <c r="AD22" s="35"/>
      <c r="AE22" s="35"/>
      <c r="AF22" s="35"/>
      <c r="AG22" s="35"/>
      <c r="AH22" s="35"/>
      <c r="AI22" s="35"/>
      <c r="AJ22" s="35"/>
      <c r="AK22" s="35"/>
      <c r="AL22" s="35"/>
      <c r="AM22" s="35"/>
      <c r="AN22" s="35"/>
      <c r="AO22" s="400"/>
      <c r="AP22" s="35"/>
      <c r="AQ22" s="35"/>
      <c r="AR22" s="35"/>
      <c r="AS22" s="35"/>
      <c r="AT22" s="400"/>
      <c r="AU22" s="35"/>
      <c r="AV22" s="35"/>
      <c r="AW22" s="35"/>
      <c r="AX22" s="400"/>
      <c r="AY22" s="400"/>
      <c r="AZ22" s="35"/>
      <c r="BA22" s="35"/>
      <c r="BB22" s="400"/>
      <c r="BC22" s="400"/>
      <c r="BD22" s="400"/>
      <c r="BE22" s="400"/>
      <c r="BF22" s="400"/>
      <c r="BG22" s="400"/>
      <c r="BH22" s="400"/>
      <c r="BI22" s="400"/>
      <c r="BJ22" s="400"/>
      <c r="BK22" s="35"/>
      <c r="BL22" s="400"/>
      <c r="BM22" s="400"/>
      <c r="BN22" s="35"/>
      <c r="BO22" s="400"/>
      <c r="BP22" s="35"/>
      <c r="BQ22" s="400">
        <f>29199.7+11000</f>
        <v>40199.699999999997</v>
      </c>
      <c r="BR22" s="400"/>
      <c r="BS22" s="400"/>
      <c r="BT22" s="400"/>
      <c r="BU22" s="35"/>
      <c r="BV22" s="35"/>
      <c r="BW22" s="400">
        <v>14859.5</v>
      </c>
      <c r="BX22" s="35"/>
      <c r="BY22" s="400"/>
      <c r="BZ22" s="35"/>
      <c r="CA22" s="35"/>
      <c r="CB22" s="35"/>
      <c r="CC22" s="35"/>
      <c r="CD22" s="35"/>
      <c r="CE22" s="400"/>
      <c r="CF22" s="35"/>
      <c r="CG22" s="35"/>
      <c r="CH22" s="222">
        <f t="shared" si="0"/>
        <v>55059.199999999997</v>
      </c>
      <c r="CI22" s="405">
        <f t="shared" si="1"/>
        <v>55059.199999999997</v>
      </c>
    </row>
    <row r="23" spans="1:87">
      <c r="A23" s="128" t="s">
        <v>396</v>
      </c>
      <c r="B23" s="35"/>
      <c r="C23" s="35"/>
      <c r="D23" s="35"/>
      <c r="E23" s="35"/>
      <c r="F23" s="35"/>
      <c r="G23" s="35"/>
      <c r="H23" s="35"/>
      <c r="I23" s="35"/>
      <c r="J23" s="400"/>
      <c r="K23" s="35"/>
      <c r="L23" s="400"/>
      <c r="M23" s="35"/>
      <c r="N23" s="400"/>
      <c r="O23" s="35"/>
      <c r="P23" s="400"/>
      <c r="Q23" s="35"/>
      <c r="R23" s="35">
        <v>1602.2</v>
      </c>
      <c r="S23" s="35"/>
      <c r="T23" s="35"/>
      <c r="U23" s="35"/>
      <c r="V23" s="400"/>
      <c r="W23" s="35"/>
      <c r="X23" s="35"/>
      <c r="Y23" s="35"/>
      <c r="Z23" s="35"/>
      <c r="AA23" s="35"/>
      <c r="AB23" s="35"/>
      <c r="AC23" s="400"/>
      <c r="AD23" s="35"/>
      <c r="AE23" s="35"/>
      <c r="AF23" s="35"/>
      <c r="AG23" s="35"/>
      <c r="AH23" s="35"/>
      <c r="AI23" s="35"/>
      <c r="AJ23" s="35"/>
      <c r="AK23" s="35"/>
      <c r="AL23" s="35"/>
      <c r="AM23" s="35"/>
      <c r="AN23" s="35"/>
      <c r="AO23" s="400"/>
      <c r="AP23" s="35"/>
      <c r="AQ23" s="35"/>
      <c r="AR23" s="35"/>
      <c r="AS23" s="35"/>
      <c r="AT23" s="400"/>
      <c r="AU23" s="35"/>
      <c r="AV23" s="35"/>
      <c r="AW23" s="35"/>
      <c r="AX23" s="400"/>
      <c r="AY23" s="400"/>
      <c r="AZ23" s="35"/>
      <c r="BA23" s="35"/>
      <c r="BB23" s="400"/>
      <c r="BC23" s="400"/>
      <c r="BD23" s="400"/>
      <c r="BE23" s="400"/>
      <c r="BF23" s="400"/>
      <c r="BG23" s="400"/>
      <c r="BH23" s="400"/>
      <c r="BI23" s="400"/>
      <c r="BJ23" s="400"/>
      <c r="BK23" s="35"/>
      <c r="BL23" s="400"/>
      <c r="BM23" s="400"/>
      <c r="BN23" s="35"/>
      <c r="BO23" s="400"/>
      <c r="BP23" s="35"/>
      <c r="BQ23" s="400"/>
      <c r="BR23" s="400"/>
      <c r="BS23" s="400"/>
      <c r="BT23" s="400"/>
      <c r="BU23" s="35"/>
      <c r="BV23" s="35"/>
      <c r="BW23" s="400">
        <v>68749.2</v>
      </c>
      <c r="BX23" s="35"/>
      <c r="BY23" s="400"/>
      <c r="BZ23" s="35"/>
      <c r="CA23" s="35"/>
      <c r="CB23" s="35"/>
      <c r="CC23" s="35"/>
      <c r="CD23" s="35"/>
      <c r="CE23" s="400"/>
      <c r="CF23" s="35"/>
      <c r="CG23" s="35"/>
      <c r="CH23" s="222">
        <f t="shared" si="0"/>
        <v>70351.399999999994</v>
      </c>
      <c r="CI23" s="405">
        <f t="shared" si="1"/>
        <v>68749.2</v>
      </c>
    </row>
    <row r="24" spans="1:87" hidden="1">
      <c r="A24" s="128" t="s">
        <v>505</v>
      </c>
      <c r="B24" s="35"/>
      <c r="C24" s="35"/>
      <c r="D24" s="35"/>
      <c r="E24" s="35"/>
      <c r="F24" s="35"/>
      <c r="G24" s="35"/>
      <c r="H24" s="35"/>
      <c r="I24" s="35"/>
      <c r="J24" s="400"/>
      <c r="K24" s="35"/>
      <c r="L24" s="400"/>
      <c r="M24" s="35"/>
      <c r="N24" s="400"/>
      <c r="O24" s="35"/>
      <c r="P24" s="400"/>
      <c r="Q24" s="35"/>
      <c r="R24" s="35"/>
      <c r="S24" s="35"/>
      <c r="T24" s="35"/>
      <c r="U24" s="35"/>
      <c r="V24" s="400"/>
      <c r="W24" s="35"/>
      <c r="X24" s="35"/>
      <c r="Y24" s="35"/>
      <c r="Z24" s="35"/>
      <c r="AA24" s="35"/>
      <c r="AB24" s="35"/>
      <c r="AC24" s="400"/>
      <c r="AD24" s="35"/>
      <c r="AE24" s="35"/>
      <c r="AF24" s="35"/>
      <c r="AG24" s="35"/>
      <c r="AH24" s="35"/>
      <c r="AI24" s="35"/>
      <c r="AJ24" s="35"/>
      <c r="AK24" s="35"/>
      <c r="AL24" s="35"/>
      <c r="AM24" s="35"/>
      <c r="AN24" s="35"/>
      <c r="AO24" s="400"/>
      <c r="AP24" s="35"/>
      <c r="AQ24" s="35"/>
      <c r="AR24" s="35"/>
      <c r="AS24" s="35"/>
      <c r="AT24" s="400"/>
      <c r="AU24" s="35"/>
      <c r="AV24" s="35"/>
      <c r="AW24" s="35"/>
      <c r="AX24" s="400"/>
      <c r="AY24" s="400"/>
      <c r="AZ24" s="35"/>
      <c r="BA24" s="35"/>
      <c r="BB24" s="400"/>
      <c r="BC24" s="400"/>
      <c r="BD24" s="400"/>
      <c r="BE24" s="400"/>
      <c r="BF24" s="400"/>
      <c r="BG24" s="400"/>
      <c r="BH24" s="400"/>
      <c r="BI24" s="400"/>
      <c r="BJ24" s="400"/>
      <c r="BK24" s="35"/>
      <c r="BL24" s="400"/>
      <c r="BM24" s="400"/>
      <c r="BN24" s="35"/>
      <c r="BO24" s="400"/>
      <c r="BP24" s="35"/>
      <c r="BQ24" s="400"/>
      <c r="BR24" s="400"/>
      <c r="BS24" s="400"/>
      <c r="BT24" s="400"/>
      <c r="BU24" s="35"/>
      <c r="BV24" s="35"/>
      <c r="BW24" s="400"/>
      <c r="BX24" s="35"/>
      <c r="BY24" s="400"/>
      <c r="BZ24" s="35"/>
      <c r="CA24" s="35"/>
      <c r="CB24" s="35"/>
      <c r="CC24" s="35"/>
      <c r="CD24" s="35"/>
      <c r="CE24" s="400"/>
      <c r="CF24" s="35"/>
      <c r="CG24" s="35"/>
      <c r="CH24" s="222">
        <f t="shared" si="0"/>
        <v>0</v>
      </c>
      <c r="CI24" s="405">
        <f t="shared" si="1"/>
        <v>0</v>
      </c>
    </row>
    <row r="25" spans="1:87">
      <c r="A25" s="128" t="s">
        <v>397</v>
      </c>
      <c r="B25" s="35"/>
      <c r="C25" s="35"/>
      <c r="D25" s="35"/>
      <c r="E25" s="35"/>
      <c r="F25" s="35"/>
      <c r="G25" s="35"/>
      <c r="H25" s="35">
        <v>75325</v>
      </c>
      <c r="I25" s="35"/>
      <c r="J25" s="400"/>
      <c r="K25" s="35"/>
      <c r="L25" s="400"/>
      <c r="M25" s="35"/>
      <c r="N25" s="400"/>
      <c r="O25" s="35"/>
      <c r="P25" s="400"/>
      <c r="Q25" s="35"/>
      <c r="R25" s="35"/>
      <c r="S25" s="35"/>
      <c r="T25" s="35"/>
      <c r="U25" s="35"/>
      <c r="V25" s="400"/>
      <c r="W25" s="35"/>
      <c r="X25" s="35"/>
      <c r="Y25" s="35"/>
      <c r="Z25" s="35"/>
      <c r="AA25" s="35"/>
      <c r="AB25" s="35"/>
      <c r="AC25" s="400"/>
      <c r="AD25" s="35"/>
      <c r="AE25" s="35"/>
      <c r="AF25" s="35"/>
      <c r="AG25" s="35"/>
      <c r="AH25" s="35"/>
      <c r="AI25" s="35"/>
      <c r="AJ25" s="35"/>
      <c r="AK25" s="35"/>
      <c r="AL25" s="35"/>
      <c r="AM25" s="35"/>
      <c r="AN25" s="35"/>
      <c r="AO25" s="400"/>
      <c r="AP25" s="35"/>
      <c r="AQ25" s="35"/>
      <c r="AR25" s="35"/>
      <c r="AS25" s="35"/>
      <c r="AT25" s="400"/>
      <c r="AU25" s="35"/>
      <c r="AV25" s="35"/>
      <c r="AW25" s="35"/>
      <c r="AX25" s="400"/>
      <c r="AY25" s="400"/>
      <c r="AZ25" s="35"/>
      <c r="BA25" s="35"/>
      <c r="BB25" s="400"/>
      <c r="BC25" s="400"/>
      <c r="BD25" s="400"/>
      <c r="BE25" s="400">
        <v>93.744</v>
      </c>
      <c r="BF25" s="400"/>
      <c r="BG25" s="400"/>
      <c r="BH25" s="400"/>
      <c r="BI25" s="400">
        <f>434.5+445.6</f>
        <v>880.1</v>
      </c>
      <c r="BJ25" s="400">
        <f>108359.3+452059.9+37618.6</f>
        <v>598037.80000000005</v>
      </c>
      <c r="BK25" s="35"/>
      <c r="BL25" s="400"/>
      <c r="BM25" s="400"/>
      <c r="BN25" s="35"/>
      <c r="BO25" s="400"/>
      <c r="BP25" s="35"/>
      <c r="BQ25" s="400"/>
      <c r="BR25" s="400"/>
      <c r="BS25" s="400"/>
      <c r="BT25" s="400"/>
      <c r="BU25" s="35"/>
      <c r="BV25" s="35"/>
      <c r="BW25" s="400"/>
      <c r="BX25" s="35"/>
      <c r="BY25" s="400"/>
      <c r="BZ25" s="35"/>
      <c r="CA25" s="35"/>
      <c r="CB25" s="35"/>
      <c r="CC25" s="35"/>
      <c r="CD25" s="35"/>
      <c r="CE25" s="400"/>
      <c r="CF25" s="35"/>
      <c r="CG25" s="35"/>
      <c r="CH25" s="222">
        <f t="shared" si="0"/>
        <v>674336.64400000009</v>
      </c>
      <c r="CI25" s="405">
        <f t="shared" si="1"/>
        <v>599011.64400000009</v>
      </c>
    </row>
    <row r="26" spans="1:87">
      <c r="A26" s="128" t="s">
        <v>398</v>
      </c>
      <c r="B26" s="35"/>
      <c r="C26" s="35"/>
      <c r="D26" s="35"/>
      <c r="E26" s="35"/>
      <c r="F26" s="35"/>
      <c r="G26" s="35"/>
      <c r="H26" s="35">
        <v>32241.5</v>
      </c>
      <c r="I26" s="35">
        <f>5.2+22297.545+1661.4</f>
        <v>23964.145</v>
      </c>
      <c r="J26" s="400">
        <f>7890.9+699.7+3906.7+857.8</f>
        <v>13355.099999999999</v>
      </c>
      <c r="K26" s="35">
        <f>38114.755+80+1305.5</f>
        <v>39500.254999999997</v>
      </c>
      <c r="L26" s="400">
        <f>7890.9+1004.3+3906.7</f>
        <v>12801.899999999998</v>
      </c>
      <c r="M26" s="35"/>
      <c r="N26" s="400"/>
      <c r="O26" s="35"/>
      <c r="P26" s="400"/>
      <c r="Q26" s="35"/>
      <c r="R26" s="35"/>
      <c r="S26" s="35"/>
      <c r="T26" s="35"/>
      <c r="U26" s="35"/>
      <c r="V26" s="400"/>
      <c r="W26" s="35"/>
      <c r="X26" s="35"/>
      <c r="Y26" s="35"/>
      <c r="Z26" s="35"/>
      <c r="AA26" s="35"/>
      <c r="AB26" s="35"/>
      <c r="AC26" s="400"/>
      <c r="AD26" s="35"/>
      <c r="AE26" s="35"/>
      <c r="AF26" s="35"/>
      <c r="AG26" s="35"/>
      <c r="AH26" s="35"/>
      <c r="AI26" s="35"/>
      <c r="AJ26" s="35"/>
      <c r="AK26" s="35"/>
      <c r="AL26" s="35"/>
      <c r="AM26" s="35"/>
      <c r="AN26" s="35"/>
      <c r="AO26" s="400"/>
      <c r="AP26" s="35"/>
      <c r="AQ26" s="35"/>
      <c r="AR26" s="35"/>
      <c r="AS26" s="35"/>
      <c r="AT26" s="400"/>
      <c r="AU26" s="35"/>
      <c r="AV26" s="35"/>
      <c r="AW26" s="35"/>
      <c r="AX26" s="400"/>
      <c r="AY26" s="400"/>
      <c r="AZ26" s="35"/>
      <c r="BA26" s="35"/>
      <c r="BB26" s="400"/>
      <c r="BC26" s="400"/>
      <c r="BD26" s="400"/>
      <c r="BE26" s="400">
        <v>969.00800000000004</v>
      </c>
      <c r="BF26" s="400"/>
      <c r="BG26" s="400">
        <v>1603</v>
      </c>
      <c r="BH26" s="400"/>
      <c r="BI26" s="400">
        <v>14508.8</v>
      </c>
      <c r="BJ26" s="400"/>
      <c r="BK26" s="35"/>
      <c r="BL26" s="400"/>
      <c r="BM26" s="400"/>
      <c r="BN26" s="35"/>
      <c r="BO26" s="400"/>
      <c r="BP26" s="35"/>
      <c r="BQ26" s="400"/>
      <c r="BR26" s="400"/>
      <c r="BS26" s="400"/>
      <c r="BT26" s="400"/>
      <c r="BU26" s="35"/>
      <c r="BV26" s="35"/>
      <c r="BW26" s="400"/>
      <c r="BX26" s="35"/>
      <c r="BY26" s="400"/>
      <c r="BZ26" s="35"/>
      <c r="CA26" s="35"/>
      <c r="CB26" s="35"/>
      <c r="CC26" s="35"/>
      <c r="CD26" s="35"/>
      <c r="CE26" s="400"/>
      <c r="CF26" s="35"/>
      <c r="CG26" s="35"/>
      <c r="CH26" s="222">
        <f t="shared" si="0"/>
        <v>138943.70799999998</v>
      </c>
      <c r="CI26" s="405">
        <f t="shared" si="1"/>
        <v>43237.807999999997</v>
      </c>
    </row>
    <row r="27" spans="1:87">
      <c r="A27" s="128" t="s">
        <v>454</v>
      </c>
      <c r="B27" s="35"/>
      <c r="C27" s="35"/>
      <c r="D27" s="35"/>
      <c r="E27" s="35"/>
      <c r="F27" s="35"/>
      <c r="G27" s="35"/>
      <c r="H27" s="35"/>
      <c r="I27" s="35"/>
      <c r="J27" s="400"/>
      <c r="K27" s="35"/>
      <c r="L27" s="400"/>
      <c r="M27" s="35">
        <f>44291.8</f>
        <v>44291.8</v>
      </c>
      <c r="N27" s="400">
        <v>2430.9</v>
      </c>
      <c r="O27" s="35"/>
      <c r="P27" s="400"/>
      <c r="Q27" s="35">
        <v>506.6</v>
      </c>
      <c r="R27" s="35"/>
      <c r="S27" s="35"/>
      <c r="T27" s="35"/>
      <c r="U27" s="35"/>
      <c r="V27" s="400"/>
      <c r="W27" s="35"/>
      <c r="X27" s="35"/>
      <c r="Y27" s="35"/>
      <c r="Z27" s="35"/>
      <c r="AA27" s="35"/>
      <c r="AB27" s="35"/>
      <c r="AC27" s="400"/>
      <c r="AD27" s="35"/>
      <c r="AE27" s="35"/>
      <c r="AF27" s="35"/>
      <c r="AG27" s="35"/>
      <c r="AH27" s="35"/>
      <c r="AI27" s="35"/>
      <c r="AJ27" s="35"/>
      <c r="AK27" s="35"/>
      <c r="AL27" s="35"/>
      <c r="AM27" s="35"/>
      <c r="AN27" s="35"/>
      <c r="AO27" s="400"/>
      <c r="AP27" s="35"/>
      <c r="AQ27" s="35"/>
      <c r="AR27" s="35"/>
      <c r="AS27" s="35"/>
      <c r="AT27" s="400"/>
      <c r="AU27" s="35"/>
      <c r="AV27" s="35"/>
      <c r="AW27" s="35"/>
      <c r="AX27" s="400"/>
      <c r="AY27" s="400"/>
      <c r="AZ27" s="35"/>
      <c r="BA27" s="35"/>
      <c r="BB27" s="400"/>
      <c r="BC27" s="400"/>
      <c r="BD27" s="400"/>
      <c r="BE27" s="400">
        <v>31.248000000000001</v>
      </c>
      <c r="BF27" s="400"/>
      <c r="BG27" s="400"/>
      <c r="BH27" s="400"/>
      <c r="BI27" s="400"/>
      <c r="BJ27" s="400"/>
      <c r="BK27" s="35"/>
      <c r="BL27" s="400"/>
      <c r="BM27" s="400"/>
      <c r="BN27" s="35"/>
      <c r="BO27" s="400"/>
      <c r="BP27" s="35"/>
      <c r="BQ27" s="400"/>
      <c r="BR27" s="400"/>
      <c r="BS27" s="400"/>
      <c r="BT27" s="400"/>
      <c r="BU27" s="35"/>
      <c r="BV27" s="35"/>
      <c r="BW27" s="400"/>
      <c r="BX27" s="35"/>
      <c r="BY27" s="400"/>
      <c r="BZ27" s="35"/>
      <c r="CA27" s="35"/>
      <c r="CB27" s="35"/>
      <c r="CC27" s="35"/>
      <c r="CD27" s="35"/>
      <c r="CE27" s="400"/>
      <c r="CF27" s="35"/>
      <c r="CG27" s="35"/>
      <c r="CH27" s="222">
        <f t="shared" si="0"/>
        <v>47260.548000000003</v>
      </c>
      <c r="CI27" s="405">
        <f t="shared" si="1"/>
        <v>2462.1480000000001</v>
      </c>
    </row>
    <row r="28" spans="1:87">
      <c r="A28" s="128" t="s">
        <v>1115</v>
      </c>
      <c r="B28" s="35"/>
      <c r="C28" s="35"/>
      <c r="D28" s="35"/>
      <c r="E28" s="35"/>
      <c r="F28" s="35"/>
      <c r="G28" s="35"/>
      <c r="H28" s="35"/>
      <c r="I28" s="35"/>
      <c r="J28" s="400"/>
      <c r="K28" s="35"/>
      <c r="L28" s="400"/>
      <c r="M28" s="35"/>
      <c r="N28" s="400"/>
      <c r="O28" s="35"/>
      <c r="P28" s="400"/>
      <c r="Q28" s="35"/>
      <c r="R28" s="35"/>
      <c r="S28" s="35"/>
      <c r="T28" s="35"/>
      <c r="U28" s="35"/>
      <c r="V28" s="400"/>
      <c r="W28" s="35"/>
      <c r="X28" s="35"/>
      <c r="Y28" s="35"/>
      <c r="Z28" s="35"/>
      <c r="AA28" s="35"/>
      <c r="AB28" s="35"/>
      <c r="AC28" s="400"/>
      <c r="AD28" s="35"/>
      <c r="AE28" s="35"/>
      <c r="AF28" s="35"/>
      <c r="AG28" s="35"/>
      <c r="AH28" s="35"/>
      <c r="AI28" s="35"/>
      <c r="AJ28" s="35"/>
      <c r="AK28" s="35"/>
      <c r="AL28" s="35"/>
      <c r="AM28" s="35"/>
      <c r="AN28" s="35"/>
      <c r="AO28" s="400">
        <v>3570</v>
      </c>
      <c r="AP28" s="35"/>
      <c r="AQ28" s="35"/>
      <c r="AR28" s="35"/>
      <c r="AS28" s="35"/>
      <c r="AT28" s="400"/>
      <c r="AU28" s="35"/>
      <c r="AV28" s="35"/>
      <c r="AW28" s="35"/>
      <c r="AX28" s="400"/>
      <c r="AY28" s="400"/>
      <c r="AZ28" s="35"/>
      <c r="BA28" s="35"/>
      <c r="BB28" s="400">
        <v>40</v>
      </c>
      <c r="BC28" s="400"/>
      <c r="BD28" s="400"/>
      <c r="BE28" s="400"/>
      <c r="BF28" s="400"/>
      <c r="BG28" s="400"/>
      <c r="BH28" s="400"/>
      <c r="BI28" s="400"/>
      <c r="BJ28" s="400"/>
      <c r="BK28" s="35"/>
      <c r="BL28" s="400"/>
      <c r="BM28" s="400"/>
      <c r="BN28" s="35"/>
      <c r="BO28" s="400"/>
      <c r="BP28" s="35"/>
      <c r="BQ28" s="400"/>
      <c r="BR28" s="400"/>
      <c r="BS28" s="400"/>
      <c r="BT28" s="400"/>
      <c r="BU28" s="35"/>
      <c r="BV28" s="35"/>
      <c r="BW28" s="400"/>
      <c r="BX28" s="35"/>
      <c r="BY28" s="400"/>
      <c r="BZ28" s="35"/>
      <c r="CA28" s="35"/>
      <c r="CB28" s="35"/>
      <c r="CC28" s="35"/>
      <c r="CD28" s="35"/>
      <c r="CE28" s="400"/>
      <c r="CF28" s="35"/>
      <c r="CG28" s="35"/>
      <c r="CH28" s="222">
        <f t="shared" si="0"/>
        <v>3610</v>
      </c>
      <c r="CI28" s="405">
        <f t="shared" si="1"/>
        <v>3610</v>
      </c>
    </row>
    <row r="29" spans="1:87">
      <c r="A29" s="128" t="s">
        <v>399</v>
      </c>
      <c r="B29" s="35"/>
      <c r="C29" s="35"/>
      <c r="D29" s="35"/>
      <c r="E29" s="35"/>
      <c r="F29" s="35"/>
      <c r="G29" s="35"/>
      <c r="H29" s="35"/>
      <c r="I29" s="35"/>
      <c r="J29" s="400"/>
      <c r="K29" s="35"/>
      <c r="L29" s="400"/>
      <c r="M29" s="35"/>
      <c r="N29" s="400"/>
      <c r="O29" s="35">
        <v>2937.5</v>
      </c>
      <c r="P29" s="400">
        <v>4729.3</v>
      </c>
      <c r="Q29" s="35"/>
      <c r="R29" s="35"/>
      <c r="S29" s="35"/>
      <c r="T29" s="35"/>
      <c r="U29" s="35"/>
      <c r="V29" s="400"/>
      <c r="W29" s="35"/>
      <c r="X29" s="35"/>
      <c r="Y29" s="35"/>
      <c r="Z29" s="35"/>
      <c r="AA29" s="35"/>
      <c r="AB29" s="35"/>
      <c r="AC29" s="400"/>
      <c r="AD29" s="35">
        <v>300</v>
      </c>
      <c r="AE29" s="35"/>
      <c r="AF29" s="35"/>
      <c r="AG29" s="35"/>
      <c r="AH29" s="35"/>
      <c r="AI29" s="35"/>
      <c r="AJ29" s="35"/>
      <c r="AK29" s="35"/>
      <c r="AL29" s="35"/>
      <c r="AM29" s="35"/>
      <c r="AN29" s="35"/>
      <c r="AO29" s="400"/>
      <c r="AP29" s="35"/>
      <c r="AQ29" s="35"/>
      <c r="AR29" s="35"/>
      <c r="AS29" s="35"/>
      <c r="AT29" s="400"/>
      <c r="AU29" s="35"/>
      <c r="AV29" s="35"/>
      <c r="AW29" s="35"/>
      <c r="AX29" s="400"/>
      <c r="AY29" s="400"/>
      <c r="AZ29" s="35"/>
      <c r="BA29" s="35"/>
      <c r="BB29" s="400"/>
      <c r="BC29" s="400"/>
      <c r="BD29" s="400"/>
      <c r="BE29" s="400"/>
      <c r="BF29" s="400"/>
      <c r="BG29" s="400"/>
      <c r="BH29" s="400"/>
      <c r="BI29" s="400"/>
      <c r="BJ29" s="400"/>
      <c r="BK29" s="35"/>
      <c r="BL29" s="400"/>
      <c r="BM29" s="400"/>
      <c r="BN29" s="35"/>
      <c r="BO29" s="400"/>
      <c r="BP29" s="35"/>
      <c r="BQ29" s="400"/>
      <c r="BR29" s="400"/>
      <c r="BS29" s="400"/>
      <c r="BT29" s="400"/>
      <c r="BU29" s="35"/>
      <c r="BV29" s="35"/>
      <c r="BW29" s="400"/>
      <c r="BX29" s="35"/>
      <c r="BY29" s="400"/>
      <c r="BZ29" s="35"/>
      <c r="CA29" s="35"/>
      <c r="CB29" s="35"/>
      <c r="CC29" s="35"/>
      <c r="CD29" s="35"/>
      <c r="CE29" s="400"/>
      <c r="CF29" s="35"/>
      <c r="CG29" s="35"/>
      <c r="CH29" s="222">
        <f t="shared" si="0"/>
        <v>7966.8</v>
      </c>
      <c r="CI29" s="405">
        <f t="shared" si="1"/>
        <v>4729.3</v>
      </c>
    </row>
    <row r="30" spans="1:87">
      <c r="A30" s="128" t="s">
        <v>400</v>
      </c>
      <c r="B30" s="35"/>
      <c r="C30" s="35"/>
      <c r="D30" s="35"/>
      <c r="E30" s="35"/>
      <c r="F30" s="35"/>
      <c r="G30" s="35"/>
      <c r="H30" s="35"/>
      <c r="I30" s="35"/>
      <c r="J30" s="400"/>
      <c r="K30" s="35"/>
      <c r="L30" s="400"/>
      <c r="M30" s="35"/>
      <c r="N30" s="400"/>
      <c r="O30" s="35"/>
      <c r="P30" s="400"/>
      <c r="Q30" s="35">
        <v>319.39999999999998</v>
      </c>
      <c r="R30" s="35"/>
      <c r="S30" s="35"/>
      <c r="T30" s="35"/>
      <c r="U30" s="35"/>
      <c r="V30" s="400"/>
      <c r="W30" s="35"/>
      <c r="X30" s="35"/>
      <c r="Y30" s="35"/>
      <c r="Z30" s="35"/>
      <c r="AA30" s="35"/>
      <c r="AB30" s="35"/>
      <c r="AC30" s="400"/>
      <c r="AD30" s="35"/>
      <c r="AE30" s="35"/>
      <c r="AF30" s="35"/>
      <c r="AG30" s="35"/>
      <c r="AH30" s="35"/>
      <c r="AI30" s="35">
        <v>5440.4</v>
      </c>
      <c r="AJ30" s="35">
        <v>11923.6</v>
      </c>
      <c r="AK30" s="35"/>
      <c r="AL30" s="35"/>
      <c r="AM30" s="35"/>
      <c r="AN30" s="35"/>
      <c r="AO30" s="400"/>
      <c r="AP30" s="35"/>
      <c r="AQ30" s="35"/>
      <c r="AR30" s="35"/>
      <c r="AS30" s="35"/>
      <c r="AT30" s="400"/>
      <c r="AU30" s="35"/>
      <c r="AV30" s="35"/>
      <c r="AW30" s="35"/>
      <c r="AX30" s="400"/>
      <c r="AY30" s="400"/>
      <c r="AZ30" s="35"/>
      <c r="BA30" s="35"/>
      <c r="BB30" s="400"/>
      <c r="BC30" s="400"/>
      <c r="BD30" s="400"/>
      <c r="BE30" s="400"/>
      <c r="BF30" s="400"/>
      <c r="BG30" s="400"/>
      <c r="BH30" s="400"/>
      <c r="BI30" s="400"/>
      <c r="BJ30" s="400"/>
      <c r="BK30" s="35"/>
      <c r="BL30" s="400"/>
      <c r="BM30" s="400"/>
      <c r="BN30" s="35"/>
      <c r="BO30" s="400"/>
      <c r="BP30" s="35"/>
      <c r="BQ30" s="400"/>
      <c r="BR30" s="400"/>
      <c r="BS30" s="400"/>
      <c r="BT30" s="400"/>
      <c r="BU30" s="35"/>
      <c r="BV30" s="35"/>
      <c r="BW30" s="400"/>
      <c r="BX30" s="35"/>
      <c r="BY30" s="400"/>
      <c r="BZ30" s="35"/>
      <c r="CA30" s="35"/>
      <c r="CB30" s="35"/>
      <c r="CC30" s="35"/>
      <c r="CD30" s="35"/>
      <c r="CE30" s="400"/>
      <c r="CF30" s="35"/>
      <c r="CG30" s="35"/>
      <c r="CH30" s="222">
        <f t="shared" si="0"/>
        <v>17683.400000000001</v>
      </c>
      <c r="CI30" s="405">
        <f t="shared" si="1"/>
        <v>0</v>
      </c>
    </row>
    <row r="31" spans="1:87" s="129" customFormat="1">
      <c r="A31" s="128" t="s">
        <v>401</v>
      </c>
      <c r="B31" s="35"/>
      <c r="C31" s="35"/>
      <c r="D31" s="35"/>
      <c r="E31" s="35"/>
      <c r="F31" s="35"/>
      <c r="G31" s="35"/>
      <c r="H31" s="35"/>
      <c r="I31" s="35"/>
      <c r="J31" s="400"/>
      <c r="K31" s="35"/>
      <c r="L31" s="400"/>
      <c r="M31" s="35"/>
      <c r="N31" s="400"/>
      <c r="O31" s="35"/>
      <c r="P31" s="400"/>
      <c r="Q31" s="35"/>
      <c r="R31" s="35"/>
      <c r="S31" s="35"/>
      <c r="T31" s="35"/>
      <c r="U31" s="35">
        <v>2634.6</v>
      </c>
      <c r="V31" s="400">
        <v>1818.4</v>
      </c>
      <c r="W31" s="35"/>
      <c r="X31" s="35"/>
      <c r="Y31" s="35"/>
      <c r="Z31" s="35"/>
      <c r="AA31" s="35"/>
      <c r="AB31" s="35"/>
      <c r="AC31" s="400"/>
      <c r="AD31" s="35"/>
      <c r="AE31" s="35">
        <v>9459.4</v>
      </c>
      <c r="AF31" s="35"/>
      <c r="AG31" s="35"/>
      <c r="AH31" s="35"/>
      <c r="AI31" s="35"/>
      <c r="AJ31" s="35"/>
      <c r="AK31" s="35"/>
      <c r="AL31" s="35"/>
      <c r="AM31" s="35"/>
      <c r="AN31" s="35"/>
      <c r="AO31" s="400"/>
      <c r="AP31" s="35"/>
      <c r="AQ31" s="35"/>
      <c r="AR31" s="35"/>
      <c r="AS31" s="35"/>
      <c r="AT31" s="400"/>
      <c r="AU31" s="35"/>
      <c r="AV31" s="35"/>
      <c r="AW31" s="35"/>
      <c r="AX31" s="400"/>
      <c r="AY31" s="400"/>
      <c r="AZ31" s="35"/>
      <c r="BA31" s="35"/>
      <c r="BB31" s="400"/>
      <c r="BC31" s="400"/>
      <c r="BD31" s="400"/>
      <c r="BE31" s="400"/>
      <c r="BF31" s="400"/>
      <c r="BG31" s="400"/>
      <c r="BH31" s="400"/>
      <c r="BI31" s="400"/>
      <c r="BJ31" s="400"/>
      <c r="BK31" s="35"/>
      <c r="BL31" s="400"/>
      <c r="BM31" s="400"/>
      <c r="BN31" s="35"/>
      <c r="BO31" s="400"/>
      <c r="BP31" s="35"/>
      <c r="BQ31" s="400"/>
      <c r="BR31" s="400"/>
      <c r="BS31" s="400"/>
      <c r="BT31" s="400"/>
      <c r="BU31" s="35"/>
      <c r="BV31" s="35"/>
      <c r="BW31" s="400"/>
      <c r="BX31" s="35"/>
      <c r="BY31" s="400"/>
      <c r="BZ31" s="35"/>
      <c r="CA31" s="35"/>
      <c r="CB31" s="35"/>
      <c r="CC31" s="35"/>
      <c r="CD31" s="35"/>
      <c r="CE31" s="400"/>
      <c r="CF31" s="35"/>
      <c r="CG31" s="35"/>
      <c r="CH31" s="222">
        <f t="shared" si="0"/>
        <v>13912.4</v>
      </c>
      <c r="CI31" s="405">
        <f t="shared" si="1"/>
        <v>1818.4</v>
      </c>
    </row>
    <row r="32" spans="1:87">
      <c r="A32" s="128" t="s">
        <v>402</v>
      </c>
      <c r="B32" s="35"/>
      <c r="C32" s="35"/>
      <c r="D32" s="35"/>
      <c r="E32" s="35"/>
      <c r="F32" s="35"/>
      <c r="G32" s="35"/>
      <c r="H32" s="35"/>
      <c r="I32" s="35"/>
      <c r="J32" s="400"/>
      <c r="K32" s="35"/>
      <c r="L32" s="400"/>
      <c r="M32" s="35"/>
      <c r="N32" s="400"/>
      <c r="O32" s="35"/>
      <c r="P32" s="400"/>
      <c r="Q32" s="35"/>
      <c r="R32" s="35"/>
      <c r="S32" s="35"/>
      <c r="T32" s="35"/>
      <c r="U32" s="35"/>
      <c r="V32" s="400"/>
      <c r="W32" s="35"/>
      <c r="X32" s="35"/>
      <c r="Y32" s="35"/>
      <c r="Z32" s="35"/>
      <c r="AA32" s="35"/>
      <c r="AB32" s="35"/>
      <c r="AC32" s="400"/>
      <c r="AD32" s="35"/>
      <c r="AE32" s="35"/>
      <c r="AF32" s="35"/>
      <c r="AG32" s="35"/>
      <c r="AH32" s="35"/>
      <c r="AI32" s="35">
        <f>3132.4+50.2</f>
        <v>3182.6</v>
      </c>
      <c r="AJ32" s="35">
        <v>6880.9</v>
      </c>
      <c r="AK32" s="35"/>
      <c r="AL32" s="35"/>
      <c r="AM32" s="35"/>
      <c r="AN32" s="35"/>
      <c r="AO32" s="400"/>
      <c r="AP32" s="35"/>
      <c r="AQ32" s="35"/>
      <c r="AR32" s="35"/>
      <c r="AS32" s="35"/>
      <c r="AT32" s="400"/>
      <c r="AU32" s="35"/>
      <c r="AV32" s="35"/>
      <c r="AW32" s="35"/>
      <c r="AX32" s="400"/>
      <c r="AY32" s="400"/>
      <c r="AZ32" s="35"/>
      <c r="BA32" s="35"/>
      <c r="BB32" s="400"/>
      <c r="BC32" s="400"/>
      <c r="BD32" s="400"/>
      <c r="BE32" s="400"/>
      <c r="BF32" s="400"/>
      <c r="BG32" s="400"/>
      <c r="BH32" s="400"/>
      <c r="BI32" s="400"/>
      <c r="BJ32" s="400"/>
      <c r="BK32" s="35"/>
      <c r="BL32" s="400"/>
      <c r="BM32" s="400"/>
      <c r="BN32" s="35"/>
      <c r="BO32" s="400"/>
      <c r="BP32" s="35"/>
      <c r="BQ32" s="400"/>
      <c r="BR32" s="400"/>
      <c r="BS32" s="400"/>
      <c r="BT32" s="400"/>
      <c r="BU32" s="35"/>
      <c r="BV32" s="35"/>
      <c r="BW32" s="400"/>
      <c r="BX32" s="35"/>
      <c r="BY32" s="400"/>
      <c r="BZ32" s="35"/>
      <c r="CA32" s="35"/>
      <c r="CB32" s="35"/>
      <c r="CC32" s="35"/>
      <c r="CD32" s="35"/>
      <c r="CE32" s="400"/>
      <c r="CF32" s="35"/>
      <c r="CG32" s="35"/>
      <c r="CH32" s="222">
        <f t="shared" si="0"/>
        <v>10063.5</v>
      </c>
      <c r="CI32" s="405">
        <f t="shared" si="1"/>
        <v>0</v>
      </c>
    </row>
    <row r="33" spans="1:88">
      <c r="A33" s="128" t="s">
        <v>403</v>
      </c>
      <c r="B33" s="35"/>
      <c r="C33" s="35"/>
      <c r="D33" s="35"/>
      <c r="E33" s="35"/>
      <c r="F33" s="35"/>
      <c r="G33" s="35"/>
      <c r="H33" s="35"/>
      <c r="I33" s="35"/>
      <c r="J33" s="400"/>
      <c r="K33" s="35"/>
      <c r="L33" s="400"/>
      <c r="M33" s="35"/>
      <c r="N33" s="400"/>
      <c r="O33" s="35"/>
      <c r="P33" s="400"/>
      <c r="Q33" s="35"/>
      <c r="R33" s="35"/>
      <c r="S33" s="35"/>
      <c r="T33" s="35"/>
      <c r="U33" s="35"/>
      <c r="V33" s="400"/>
      <c r="W33" s="35"/>
      <c r="X33" s="35"/>
      <c r="Y33" s="35"/>
      <c r="Z33" s="35"/>
      <c r="AA33" s="35"/>
      <c r="AB33" s="35"/>
      <c r="AC33" s="400"/>
      <c r="AD33" s="35"/>
      <c r="AE33" s="35"/>
      <c r="AF33" s="35"/>
      <c r="AG33" s="35"/>
      <c r="AH33" s="35"/>
      <c r="AI33" s="35"/>
      <c r="AJ33" s="35"/>
      <c r="AK33" s="35"/>
      <c r="AL33" s="35"/>
      <c r="AM33" s="35"/>
      <c r="AN33" s="35"/>
      <c r="AO33" s="400"/>
      <c r="AP33" s="35"/>
      <c r="AQ33" s="35"/>
      <c r="AR33" s="35"/>
      <c r="AS33" s="35">
        <f>200+300+2497.5</f>
        <v>2997.5</v>
      </c>
      <c r="AT33" s="400">
        <v>1500</v>
      </c>
      <c r="AU33" s="35"/>
      <c r="AV33" s="35"/>
      <c r="AW33" s="35"/>
      <c r="AX33" s="400"/>
      <c r="AY33" s="400"/>
      <c r="AZ33" s="35"/>
      <c r="BA33" s="35"/>
      <c r="BB33" s="400"/>
      <c r="BC33" s="400"/>
      <c r="BD33" s="400"/>
      <c r="BE33" s="400"/>
      <c r="BF33" s="400"/>
      <c r="BG33" s="400"/>
      <c r="BH33" s="400"/>
      <c r="BI33" s="400"/>
      <c r="BJ33" s="400"/>
      <c r="BK33" s="35"/>
      <c r="BL33" s="400"/>
      <c r="BM33" s="400"/>
      <c r="BN33" s="35"/>
      <c r="BO33" s="400"/>
      <c r="BP33" s="35"/>
      <c r="BQ33" s="400"/>
      <c r="BR33" s="400"/>
      <c r="BS33" s="400"/>
      <c r="BT33" s="400"/>
      <c r="BU33" s="35"/>
      <c r="BV33" s="35"/>
      <c r="BW33" s="400"/>
      <c r="BX33" s="35"/>
      <c r="BY33" s="400"/>
      <c r="BZ33" s="35"/>
      <c r="CA33" s="35"/>
      <c r="CB33" s="35"/>
      <c r="CC33" s="35"/>
      <c r="CD33" s="35"/>
      <c r="CE33" s="400"/>
      <c r="CF33" s="35"/>
      <c r="CG33" s="35"/>
      <c r="CH33" s="222">
        <f t="shared" si="0"/>
        <v>4497.5</v>
      </c>
      <c r="CI33" s="405">
        <f t="shared" si="1"/>
        <v>1500</v>
      </c>
    </row>
    <row r="34" spans="1:88">
      <c r="A34" s="128" t="s">
        <v>385</v>
      </c>
      <c r="B34" s="35"/>
      <c r="C34" s="35"/>
      <c r="D34" s="35"/>
      <c r="E34" s="35"/>
      <c r="F34" s="35"/>
      <c r="G34" s="35"/>
      <c r="H34" s="35"/>
      <c r="I34" s="35"/>
      <c r="J34" s="400"/>
      <c r="K34" s="35"/>
      <c r="L34" s="400"/>
      <c r="M34" s="35"/>
      <c r="N34" s="400"/>
      <c r="O34" s="35"/>
      <c r="P34" s="400"/>
      <c r="Q34" s="35"/>
      <c r="R34" s="35"/>
      <c r="S34" s="35"/>
      <c r="T34" s="35"/>
      <c r="U34" s="35"/>
      <c r="V34" s="400"/>
      <c r="W34" s="35"/>
      <c r="X34" s="35"/>
      <c r="Y34" s="35"/>
      <c r="Z34" s="35"/>
      <c r="AA34" s="35"/>
      <c r="AB34" s="35"/>
      <c r="AC34" s="400"/>
      <c r="AD34" s="35"/>
      <c r="AE34" s="35"/>
      <c r="AF34" s="35"/>
      <c r="AG34" s="35"/>
      <c r="AH34" s="35"/>
      <c r="AI34" s="35"/>
      <c r="AJ34" s="35"/>
      <c r="AK34" s="35"/>
      <c r="AL34" s="35"/>
      <c r="AM34" s="35"/>
      <c r="AN34" s="35"/>
      <c r="AO34" s="400"/>
      <c r="AP34" s="35"/>
      <c r="AQ34" s="35"/>
      <c r="AR34" s="35"/>
      <c r="AS34" s="35"/>
      <c r="AT34" s="400"/>
      <c r="AU34" s="35"/>
      <c r="AV34" s="35"/>
      <c r="AW34" s="35"/>
      <c r="AX34" s="400"/>
      <c r="AY34" s="400">
        <v>1043.5</v>
      </c>
      <c r="AZ34" s="35"/>
      <c r="BA34" s="35"/>
      <c r="BB34" s="400"/>
      <c r="BC34" s="400"/>
      <c r="BD34" s="400"/>
      <c r="BE34" s="400"/>
      <c r="BF34" s="400">
        <v>252.24100000000001</v>
      </c>
      <c r="BG34" s="400">
        <f>115+25707+15288+84</f>
        <v>41194</v>
      </c>
      <c r="BH34" s="400"/>
      <c r="BI34" s="400"/>
      <c r="BJ34" s="400"/>
      <c r="BK34" s="35"/>
      <c r="BL34" s="400"/>
      <c r="BM34" s="400"/>
      <c r="BN34" s="35"/>
      <c r="BO34" s="400">
        <v>8069.3590000000004</v>
      </c>
      <c r="BP34" s="35"/>
      <c r="BQ34" s="400"/>
      <c r="BR34" s="400"/>
      <c r="BS34" s="400"/>
      <c r="BT34" s="400"/>
      <c r="BU34" s="35"/>
      <c r="BV34" s="35"/>
      <c r="BW34" s="400"/>
      <c r="BX34" s="35"/>
      <c r="BY34" s="400"/>
      <c r="BZ34" s="35"/>
      <c r="CA34" s="35"/>
      <c r="CB34" s="35"/>
      <c r="CC34" s="35"/>
      <c r="CD34" s="35"/>
      <c r="CE34" s="400"/>
      <c r="CF34" s="35"/>
      <c r="CG34" s="35"/>
      <c r="CH34" s="222">
        <f t="shared" si="0"/>
        <v>50559.100000000006</v>
      </c>
      <c r="CI34" s="405">
        <f t="shared" si="1"/>
        <v>50559.100000000006</v>
      </c>
    </row>
    <row r="35" spans="1:88">
      <c r="A35" s="128" t="s">
        <v>393</v>
      </c>
      <c r="B35" s="35"/>
      <c r="C35" s="35"/>
      <c r="D35" s="35"/>
      <c r="E35" s="35"/>
      <c r="F35" s="35"/>
      <c r="G35" s="35"/>
      <c r="H35" s="35"/>
      <c r="I35" s="35"/>
      <c r="J35" s="400"/>
      <c r="K35" s="35"/>
      <c r="L35" s="400"/>
      <c r="M35" s="35"/>
      <c r="N35" s="400"/>
      <c r="O35" s="35"/>
      <c r="P35" s="400"/>
      <c r="Q35" s="35"/>
      <c r="R35" s="35"/>
      <c r="S35" s="35"/>
      <c r="T35" s="35"/>
      <c r="U35" s="35"/>
      <c r="V35" s="400"/>
      <c r="W35" s="35"/>
      <c r="X35" s="35"/>
      <c r="Y35" s="35"/>
      <c r="Z35" s="35"/>
      <c r="AA35" s="35"/>
      <c r="AB35" s="35"/>
      <c r="AC35" s="400"/>
      <c r="AD35" s="35"/>
      <c r="AE35" s="35"/>
      <c r="AF35" s="35"/>
      <c r="AG35" s="35"/>
      <c r="AH35" s="35"/>
      <c r="AI35" s="35"/>
      <c r="AJ35" s="35"/>
      <c r="AK35" s="35"/>
      <c r="AL35" s="35"/>
      <c r="AM35" s="35"/>
      <c r="AN35" s="35"/>
      <c r="AO35" s="400"/>
      <c r="AP35" s="35"/>
      <c r="AQ35" s="35"/>
      <c r="AR35" s="35"/>
      <c r="AS35" s="35">
        <v>2.8</v>
      </c>
      <c r="AT35" s="400"/>
      <c r="AU35" s="35"/>
      <c r="AV35" s="35"/>
      <c r="AW35" s="35"/>
      <c r="AX35" s="400"/>
      <c r="AY35" s="400"/>
      <c r="AZ35" s="35"/>
      <c r="BA35" s="35"/>
      <c r="BB35" s="400">
        <f>1.8+19.4</f>
        <v>21.2</v>
      </c>
      <c r="BC35" s="400">
        <v>13.545</v>
      </c>
      <c r="BD35" s="400"/>
      <c r="BE35" s="400"/>
      <c r="BF35" s="400"/>
      <c r="BG35" s="400"/>
      <c r="BH35" s="400"/>
      <c r="BI35" s="400"/>
      <c r="BJ35" s="400"/>
      <c r="BK35" s="35"/>
      <c r="BL35" s="400"/>
      <c r="BM35" s="400"/>
      <c r="BN35" s="35"/>
      <c r="BO35" s="400"/>
      <c r="BP35" s="35"/>
      <c r="BQ35" s="400"/>
      <c r="BR35" s="400"/>
      <c r="BS35" s="400"/>
      <c r="BT35" s="400"/>
      <c r="BU35" s="35"/>
      <c r="BV35" s="35"/>
      <c r="BW35" s="400"/>
      <c r="BX35" s="35"/>
      <c r="BY35" s="400"/>
      <c r="BZ35" s="35"/>
      <c r="CA35" s="35"/>
      <c r="CB35" s="35"/>
      <c r="CC35" s="35"/>
      <c r="CD35" s="35"/>
      <c r="CE35" s="400"/>
      <c r="CF35" s="35"/>
      <c r="CG35" s="35"/>
      <c r="CH35" s="222">
        <f t="shared" si="0"/>
        <v>37.545000000000002</v>
      </c>
      <c r="CI35" s="405">
        <f t="shared" si="1"/>
        <v>34.744999999999997</v>
      </c>
    </row>
    <row r="36" spans="1:88">
      <c r="A36" s="128" t="s">
        <v>378</v>
      </c>
      <c r="B36" s="35"/>
      <c r="C36" s="35"/>
      <c r="D36" s="35"/>
      <c r="E36" s="35"/>
      <c r="F36" s="35"/>
      <c r="G36" s="35"/>
      <c r="H36" s="35"/>
      <c r="I36" s="35"/>
      <c r="J36" s="400"/>
      <c r="K36" s="35"/>
      <c r="L36" s="400"/>
      <c r="M36" s="35"/>
      <c r="N36" s="400"/>
      <c r="O36" s="35"/>
      <c r="P36" s="400"/>
      <c r="Q36" s="35"/>
      <c r="R36" s="35"/>
      <c r="S36" s="35"/>
      <c r="T36" s="35"/>
      <c r="U36" s="35"/>
      <c r="V36" s="400"/>
      <c r="W36" s="35"/>
      <c r="X36" s="35"/>
      <c r="Y36" s="35"/>
      <c r="Z36" s="35"/>
      <c r="AA36" s="35">
        <v>4768.5</v>
      </c>
      <c r="AB36" s="35"/>
      <c r="AC36" s="400"/>
      <c r="AD36" s="35"/>
      <c r="AE36" s="35"/>
      <c r="AF36" s="35"/>
      <c r="AG36" s="35"/>
      <c r="AH36" s="35"/>
      <c r="AI36" s="35"/>
      <c r="AJ36" s="35"/>
      <c r="AK36" s="35"/>
      <c r="AL36" s="35"/>
      <c r="AM36" s="35"/>
      <c r="AN36" s="35"/>
      <c r="AO36" s="400"/>
      <c r="AP36" s="35"/>
      <c r="AQ36" s="35"/>
      <c r="AR36" s="35"/>
      <c r="AS36" s="35"/>
      <c r="AT36" s="400"/>
      <c r="AU36" s="35"/>
      <c r="AV36" s="35"/>
      <c r="AW36" s="35"/>
      <c r="AX36" s="400"/>
      <c r="AY36" s="400"/>
      <c r="AZ36" s="35"/>
      <c r="BA36" s="35"/>
      <c r="BB36" s="400"/>
      <c r="BC36" s="400"/>
      <c r="BD36" s="400"/>
      <c r="BE36" s="400"/>
      <c r="BF36" s="400"/>
      <c r="BG36" s="400"/>
      <c r="BH36" s="400"/>
      <c r="BI36" s="400"/>
      <c r="BJ36" s="400"/>
      <c r="BK36" s="35"/>
      <c r="BL36" s="400"/>
      <c r="BM36" s="400"/>
      <c r="BN36" s="35"/>
      <c r="BO36" s="400"/>
      <c r="BP36" s="35"/>
      <c r="BQ36" s="400"/>
      <c r="BR36" s="400"/>
      <c r="BS36" s="400"/>
      <c r="BT36" s="400"/>
      <c r="BU36" s="35"/>
      <c r="BV36" s="35"/>
      <c r="BW36" s="400"/>
      <c r="BX36" s="35"/>
      <c r="BY36" s="400">
        <v>7210.6</v>
      </c>
      <c r="BZ36" s="35"/>
      <c r="CA36" s="35"/>
      <c r="CB36" s="35"/>
      <c r="CC36" s="35"/>
      <c r="CD36" s="35"/>
      <c r="CE36" s="400"/>
      <c r="CF36" s="35"/>
      <c r="CG36" s="35"/>
      <c r="CH36" s="222">
        <f t="shared" si="0"/>
        <v>11979.1</v>
      </c>
      <c r="CI36" s="405">
        <f t="shared" si="1"/>
        <v>7210.6</v>
      </c>
    </row>
    <row r="37" spans="1:88">
      <c r="A37" s="128" t="s">
        <v>404</v>
      </c>
      <c r="B37" s="35"/>
      <c r="C37" s="35"/>
      <c r="D37" s="35"/>
      <c r="E37" s="35"/>
      <c r="F37" s="35"/>
      <c r="G37" s="35"/>
      <c r="H37" s="35"/>
      <c r="I37" s="35"/>
      <c r="J37" s="400"/>
      <c r="K37" s="35"/>
      <c r="L37" s="400"/>
      <c r="M37" s="35"/>
      <c r="N37" s="400"/>
      <c r="O37" s="35"/>
      <c r="P37" s="400"/>
      <c r="Q37" s="35"/>
      <c r="R37" s="35"/>
      <c r="S37" s="35"/>
      <c r="T37" s="35"/>
      <c r="U37" s="35"/>
      <c r="V37" s="400"/>
      <c r="W37" s="35"/>
      <c r="X37" s="35"/>
      <c r="Y37" s="35"/>
      <c r="Z37" s="35"/>
      <c r="AA37" s="35"/>
      <c r="AB37" s="35">
        <v>3299</v>
      </c>
      <c r="AC37" s="400">
        <f>131566.2+900</f>
        <v>132466.20000000001</v>
      </c>
      <c r="AD37" s="35"/>
      <c r="AE37" s="35"/>
      <c r="AF37" s="35"/>
      <c r="AG37" s="35"/>
      <c r="AH37" s="35"/>
      <c r="AI37" s="35"/>
      <c r="AJ37" s="35"/>
      <c r="AK37" s="35"/>
      <c r="AL37" s="35"/>
      <c r="AM37" s="35"/>
      <c r="AN37" s="35"/>
      <c r="AO37" s="400"/>
      <c r="AP37" s="35"/>
      <c r="AQ37" s="35"/>
      <c r="AR37" s="35"/>
      <c r="AS37" s="35"/>
      <c r="AT37" s="400"/>
      <c r="AU37" s="35"/>
      <c r="AV37" s="35"/>
      <c r="AW37" s="35"/>
      <c r="AX37" s="400"/>
      <c r="AY37" s="400"/>
      <c r="AZ37" s="35"/>
      <c r="BA37" s="35"/>
      <c r="BB37" s="400"/>
      <c r="BC37" s="400"/>
      <c r="BD37" s="400"/>
      <c r="BE37" s="400"/>
      <c r="BF37" s="400"/>
      <c r="BG37" s="400"/>
      <c r="BH37" s="400"/>
      <c r="BI37" s="400"/>
      <c r="BJ37" s="400"/>
      <c r="BK37" s="35"/>
      <c r="BL37" s="400"/>
      <c r="BM37" s="400"/>
      <c r="BN37" s="35"/>
      <c r="BO37" s="400"/>
      <c r="BP37" s="35"/>
      <c r="BQ37" s="400"/>
      <c r="BR37" s="400"/>
      <c r="BS37" s="400"/>
      <c r="BT37" s="400"/>
      <c r="BU37" s="35"/>
      <c r="BV37" s="35"/>
      <c r="BW37" s="400"/>
      <c r="BX37" s="35"/>
      <c r="BY37" s="400"/>
      <c r="BZ37" s="35"/>
      <c r="CA37" s="35"/>
      <c r="CB37" s="35"/>
      <c r="CC37" s="35"/>
      <c r="CD37" s="35"/>
      <c r="CE37" s="400"/>
      <c r="CF37" s="35"/>
      <c r="CG37" s="35"/>
      <c r="CH37" s="222">
        <f t="shared" si="0"/>
        <v>135765.20000000001</v>
      </c>
      <c r="CI37" s="405">
        <f t="shared" si="1"/>
        <v>132466.20000000001</v>
      </c>
    </row>
    <row r="38" spans="1:88" ht="12.75" customHeight="1">
      <c r="A38" s="128" t="s">
        <v>47</v>
      </c>
      <c r="B38" s="35"/>
      <c r="C38" s="35"/>
      <c r="D38" s="35"/>
      <c r="E38" s="35"/>
      <c r="F38" s="35"/>
      <c r="G38" s="35"/>
      <c r="H38" s="35"/>
      <c r="I38" s="35"/>
      <c r="J38" s="400"/>
      <c r="K38" s="35"/>
      <c r="L38" s="400"/>
      <c r="M38" s="35"/>
      <c r="N38" s="400"/>
      <c r="O38" s="35"/>
      <c r="P38" s="400"/>
      <c r="Q38" s="35"/>
      <c r="R38" s="35"/>
      <c r="S38" s="35"/>
      <c r="T38" s="35"/>
      <c r="U38" s="35"/>
      <c r="V38" s="400"/>
      <c r="W38" s="35"/>
      <c r="X38" s="35"/>
      <c r="Y38" s="35"/>
      <c r="Z38" s="35"/>
      <c r="AA38" s="35"/>
      <c r="AB38" s="35">
        <v>13.2</v>
      </c>
      <c r="AC38" s="400">
        <v>209.2</v>
      </c>
      <c r="AD38" s="35"/>
      <c r="AE38" s="35"/>
      <c r="AF38" s="35"/>
      <c r="AG38" s="35"/>
      <c r="AH38" s="35"/>
      <c r="AI38" s="35"/>
      <c r="AJ38" s="35"/>
      <c r="AK38" s="35"/>
      <c r="AL38" s="35"/>
      <c r="AM38" s="35"/>
      <c r="AN38" s="35"/>
      <c r="AO38" s="400"/>
      <c r="AP38" s="35"/>
      <c r="AQ38" s="35"/>
      <c r="AR38" s="35"/>
      <c r="AS38" s="35"/>
      <c r="AT38" s="400"/>
      <c r="AU38" s="35"/>
      <c r="AV38" s="35"/>
      <c r="AW38" s="35"/>
      <c r="AX38" s="400"/>
      <c r="AY38" s="400"/>
      <c r="AZ38" s="35"/>
      <c r="BA38" s="35"/>
      <c r="BB38" s="400"/>
      <c r="BC38" s="400"/>
      <c r="BD38" s="400"/>
      <c r="BE38" s="400"/>
      <c r="BF38" s="400"/>
      <c r="BG38" s="400"/>
      <c r="BH38" s="400"/>
      <c r="BI38" s="400"/>
      <c r="BJ38" s="400"/>
      <c r="BK38" s="35"/>
      <c r="BL38" s="400"/>
      <c r="BM38" s="400"/>
      <c r="BN38" s="35"/>
      <c r="BO38" s="400"/>
      <c r="BP38" s="35"/>
      <c r="BQ38" s="400"/>
      <c r="BR38" s="400"/>
      <c r="BS38" s="400"/>
      <c r="BT38" s="400"/>
      <c r="BU38" s="35"/>
      <c r="BV38" s="35"/>
      <c r="BW38" s="400"/>
      <c r="BX38" s="35"/>
      <c r="BY38" s="400"/>
      <c r="BZ38" s="35"/>
      <c r="CA38" s="35"/>
      <c r="CB38" s="35"/>
      <c r="CC38" s="35"/>
      <c r="CD38" s="35"/>
      <c r="CE38" s="400"/>
      <c r="CF38" s="35"/>
      <c r="CG38" s="35"/>
      <c r="CH38" s="222">
        <f t="shared" si="0"/>
        <v>222.39999999999998</v>
      </c>
      <c r="CI38" s="405">
        <f t="shared" si="1"/>
        <v>209.2</v>
      </c>
    </row>
    <row r="39" spans="1:88">
      <c r="A39" s="128" t="s">
        <v>405</v>
      </c>
      <c r="B39" s="35"/>
      <c r="C39" s="35"/>
      <c r="D39" s="35"/>
      <c r="E39" s="35"/>
      <c r="F39" s="35"/>
      <c r="G39" s="35"/>
      <c r="H39" s="35"/>
      <c r="I39" s="35"/>
      <c r="J39" s="400"/>
      <c r="K39" s="35"/>
      <c r="L39" s="400"/>
      <c r="M39" s="35"/>
      <c r="N39" s="400"/>
      <c r="O39" s="35"/>
      <c r="P39" s="400"/>
      <c r="Q39" s="35"/>
      <c r="R39" s="35"/>
      <c r="S39" s="35"/>
      <c r="T39" s="35"/>
      <c r="U39" s="35"/>
      <c r="V39" s="400"/>
      <c r="W39" s="35"/>
      <c r="X39" s="35"/>
      <c r="Y39" s="35"/>
      <c r="Z39" s="35"/>
      <c r="AA39" s="35"/>
      <c r="AB39" s="35"/>
      <c r="AC39" s="400"/>
      <c r="AD39" s="35"/>
      <c r="AE39" s="35"/>
      <c r="AF39" s="35"/>
      <c r="AG39" s="35"/>
      <c r="AH39" s="35"/>
      <c r="AI39" s="35"/>
      <c r="AJ39" s="35"/>
      <c r="AK39" s="35">
        <v>70.099999999999994</v>
      </c>
      <c r="AL39" s="35"/>
      <c r="AM39" s="35"/>
      <c r="AN39" s="35"/>
      <c r="AO39" s="400"/>
      <c r="AP39" s="35"/>
      <c r="AQ39" s="35"/>
      <c r="AR39" s="35"/>
      <c r="AS39" s="35"/>
      <c r="AT39" s="400"/>
      <c r="AU39" s="35"/>
      <c r="AV39" s="35"/>
      <c r="AW39" s="35"/>
      <c r="AX39" s="400"/>
      <c r="AY39" s="400"/>
      <c r="AZ39" s="35"/>
      <c r="BA39" s="35"/>
      <c r="BB39" s="400"/>
      <c r="BC39" s="400"/>
      <c r="BD39" s="400"/>
      <c r="BE39" s="400"/>
      <c r="BF39" s="400"/>
      <c r="BG39" s="400"/>
      <c r="BH39" s="400"/>
      <c r="BI39" s="400"/>
      <c r="BJ39" s="400"/>
      <c r="BK39" s="35"/>
      <c r="BL39" s="400"/>
      <c r="BM39" s="400"/>
      <c r="BN39" s="35"/>
      <c r="BO39" s="400"/>
      <c r="BP39" s="35"/>
      <c r="BQ39" s="400"/>
      <c r="BR39" s="400"/>
      <c r="BS39" s="400"/>
      <c r="BT39" s="400"/>
      <c r="BU39" s="35"/>
      <c r="BV39" s="35"/>
      <c r="BW39" s="400"/>
      <c r="BX39" s="35"/>
      <c r="BY39" s="400"/>
      <c r="BZ39" s="35"/>
      <c r="CA39" s="35"/>
      <c r="CB39" s="35"/>
      <c r="CC39" s="35"/>
      <c r="CD39" s="35"/>
      <c r="CE39" s="400"/>
      <c r="CF39" s="35"/>
      <c r="CG39" s="35"/>
      <c r="CH39" s="222">
        <f t="shared" si="0"/>
        <v>70.099999999999994</v>
      </c>
      <c r="CI39" s="405">
        <f t="shared" si="1"/>
        <v>0</v>
      </c>
    </row>
    <row r="40" spans="1:88">
      <c r="A40" s="128" t="s">
        <v>50</v>
      </c>
      <c r="B40" s="35"/>
      <c r="C40" s="35"/>
      <c r="D40" s="35"/>
      <c r="E40" s="35"/>
      <c r="F40" s="35"/>
      <c r="G40" s="35"/>
      <c r="H40" s="35"/>
      <c r="I40" s="35"/>
      <c r="J40" s="400"/>
      <c r="K40" s="35"/>
      <c r="L40" s="400"/>
      <c r="M40" s="35"/>
      <c r="N40" s="400"/>
      <c r="O40" s="35"/>
      <c r="P40" s="400"/>
      <c r="Q40" s="35"/>
      <c r="R40" s="35"/>
      <c r="S40" s="35"/>
      <c r="T40" s="35"/>
      <c r="U40" s="35"/>
      <c r="V40" s="400"/>
      <c r="W40" s="35"/>
      <c r="X40" s="35"/>
      <c r="Y40" s="35"/>
      <c r="Z40" s="35"/>
      <c r="AA40" s="35"/>
      <c r="AB40" s="35"/>
      <c r="AC40" s="400"/>
      <c r="AD40" s="35"/>
      <c r="AE40" s="35"/>
      <c r="AF40" s="35"/>
      <c r="AG40" s="35"/>
      <c r="AH40" s="35"/>
      <c r="AI40" s="35"/>
      <c r="AJ40" s="35"/>
      <c r="AK40" s="35"/>
      <c r="AL40" s="35"/>
      <c r="AM40" s="35"/>
      <c r="AN40" s="35"/>
      <c r="AO40" s="400"/>
      <c r="AP40" s="35"/>
      <c r="AQ40" s="35"/>
      <c r="AR40" s="35"/>
      <c r="AS40" s="35"/>
      <c r="AT40" s="400"/>
      <c r="AU40" s="35"/>
      <c r="AV40" s="35"/>
      <c r="AW40" s="35"/>
      <c r="AX40" s="400"/>
      <c r="AY40" s="400"/>
      <c r="AZ40" s="35"/>
      <c r="BA40" s="35"/>
      <c r="BB40" s="400"/>
      <c r="BC40" s="400"/>
      <c r="BD40" s="400"/>
      <c r="BE40" s="400"/>
      <c r="BF40" s="400"/>
      <c r="BG40" s="400"/>
      <c r="BH40" s="400"/>
      <c r="BI40" s="400"/>
      <c r="BJ40" s="400"/>
      <c r="BK40" s="35">
        <v>11083.2</v>
      </c>
      <c r="BL40" s="400">
        <v>49804.800000000003</v>
      </c>
      <c r="BM40" s="400"/>
      <c r="BN40" s="35"/>
      <c r="BO40" s="400"/>
      <c r="BP40" s="35"/>
      <c r="BQ40" s="400"/>
      <c r="BR40" s="400"/>
      <c r="BS40" s="400"/>
      <c r="BT40" s="400"/>
      <c r="BU40" s="35"/>
      <c r="BV40" s="35"/>
      <c r="BW40" s="400"/>
      <c r="BX40" s="35"/>
      <c r="BY40" s="400"/>
      <c r="BZ40" s="35"/>
      <c r="CA40" s="35"/>
      <c r="CB40" s="35"/>
      <c r="CC40" s="35"/>
      <c r="CD40" s="35"/>
      <c r="CE40" s="400"/>
      <c r="CF40" s="35"/>
      <c r="CG40" s="35"/>
      <c r="CH40" s="222">
        <f t="shared" si="0"/>
        <v>60888</v>
      </c>
      <c r="CI40" s="405">
        <f t="shared" si="1"/>
        <v>49804.800000000003</v>
      </c>
    </row>
    <row r="41" spans="1:88">
      <c r="A41" s="128" t="s">
        <v>51</v>
      </c>
      <c r="B41" s="35"/>
      <c r="C41" s="35"/>
      <c r="D41" s="35"/>
      <c r="E41" s="35"/>
      <c r="F41" s="35"/>
      <c r="G41" s="35"/>
      <c r="H41" s="35"/>
      <c r="I41" s="35"/>
      <c r="J41" s="400"/>
      <c r="K41" s="35"/>
      <c r="L41" s="400"/>
      <c r="M41" s="35"/>
      <c r="N41" s="400"/>
      <c r="O41" s="35"/>
      <c r="P41" s="400"/>
      <c r="Q41" s="35"/>
      <c r="R41" s="35"/>
      <c r="S41" s="35"/>
      <c r="T41" s="35"/>
      <c r="U41" s="35"/>
      <c r="V41" s="400"/>
      <c r="W41" s="35"/>
      <c r="X41" s="35"/>
      <c r="Y41" s="35"/>
      <c r="Z41" s="35"/>
      <c r="AA41" s="35"/>
      <c r="AB41" s="35"/>
      <c r="AC41" s="400"/>
      <c r="AD41" s="35"/>
      <c r="AE41" s="35"/>
      <c r="AF41" s="35"/>
      <c r="AG41" s="35"/>
      <c r="AH41" s="35"/>
      <c r="AI41" s="35"/>
      <c r="AJ41" s="35"/>
      <c r="AK41" s="35"/>
      <c r="AL41" s="35"/>
      <c r="AM41" s="35"/>
      <c r="AN41" s="35"/>
      <c r="AO41" s="400"/>
      <c r="AP41" s="35"/>
      <c r="AQ41" s="35"/>
      <c r="AR41" s="35"/>
      <c r="AS41" s="35"/>
      <c r="AT41" s="400"/>
      <c r="AU41" s="35"/>
      <c r="AV41" s="35"/>
      <c r="AW41" s="35"/>
      <c r="AX41" s="400"/>
      <c r="AY41" s="400"/>
      <c r="AZ41" s="35"/>
      <c r="BA41" s="35"/>
      <c r="BB41" s="400"/>
      <c r="BC41" s="400"/>
      <c r="BD41" s="400"/>
      <c r="BE41" s="400"/>
      <c r="BF41" s="400"/>
      <c r="BG41" s="400"/>
      <c r="BH41" s="400"/>
      <c r="BI41" s="400"/>
      <c r="BJ41" s="400"/>
      <c r="BK41" s="35"/>
      <c r="BL41" s="400"/>
      <c r="BM41" s="400"/>
      <c r="BN41" s="35"/>
      <c r="BO41" s="400"/>
      <c r="BP41" s="35"/>
      <c r="BQ41" s="400"/>
      <c r="BR41" s="400"/>
      <c r="BS41" s="400"/>
      <c r="BT41" s="400"/>
      <c r="BU41" s="35"/>
      <c r="BV41" s="35"/>
      <c r="BW41" s="400"/>
      <c r="BX41" s="35"/>
      <c r="BY41" s="400"/>
      <c r="BZ41" s="35"/>
      <c r="CA41" s="35"/>
      <c r="CB41" s="35"/>
      <c r="CC41" s="35"/>
      <c r="CD41" s="35"/>
      <c r="CE41" s="400"/>
      <c r="CF41" s="35">
        <v>61511.5</v>
      </c>
      <c r="CG41" s="35"/>
      <c r="CH41" s="222">
        <f t="shared" si="0"/>
        <v>61511.5</v>
      </c>
      <c r="CI41" s="405">
        <f t="shared" si="1"/>
        <v>0</v>
      </c>
    </row>
    <row r="42" spans="1:88" s="129" customFormat="1">
      <c r="A42" s="128" t="s">
        <v>406</v>
      </c>
      <c r="B42" s="35">
        <f t="shared" ref="B42" si="2">SUM(B3:B41)</f>
        <v>3153.1</v>
      </c>
      <c r="C42" s="35">
        <f t="shared" ref="C42" si="3">SUM(C3:C41)</f>
        <v>0</v>
      </c>
      <c r="D42" s="35">
        <f t="shared" ref="D42" si="4">SUM(D3:D41)</f>
        <v>3588.3</v>
      </c>
      <c r="E42" s="35">
        <f t="shared" ref="E42" si="5">SUM(E3:E41)</f>
        <v>3216.2</v>
      </c>
      <c r="F42" s="35">
        <f t="shared" ref="F42" si="6">SUM(F3:F41)</f>
        <v>3356.2</v>
      </c>
      <c r="G42" s="35">
        <f t="shared" ref="G42" si="7">SUM(G3:G41)</f>
        <v>308.10000000000002</v>
      </c>
      <c r="H42" s="35">
        <f t="shared" ref="H42" si="8">SUM(H3:H41)</f>
        <v>107566.5</v>
      </c>
      <c r="I42" s="35">
        <f t="shared" ref="I42" si="9">SUM(I3:I41)</f>
        <v>23964.145</v>
      </c>
      <c r="J42" s="35">
        <f t="shared" ref="J42" si="10">SUM(J3:J41)</f>
        <v>13355.099999999999</v>
      </c>
      <c r="K42" s="35">
        <f t="shared" ref="K42" si="11">SUM(K3:K41)</f>
        <v>39500.254999999997</v>
      </c>
      <c r="L42" s="35">
        <f t="shared" ref="L42" si="12">SUM(L3:L41)</f>
        <v>12801.899999999998</v>
      </c>
      <c r="M42" s="35">
        <f t="shared" ref="M42" si="13">SUM(M3:M41)</f>
        <v>44291.8</v>
      </c>
      <c r="N42" s="35">
        <f t="shared" ref="N42" si="14">SUM(N3:N41)</f>
        <v>2430.9</v>
      </c>
      <c r="O42" s="35">
        <f t="shared" ref="O42" si="15">SUM(O3:O41)</f>
        <v>2937.5</v>
      </c>
      <c r="P42" s="35">
        <f t="shared" ref="P42" si="16">SUM(P3:P41)</f>
        <v>4729.3</v>
      </c>
      <c r="Q42" s="35">
        <f t="shared" ref="Q42" si="17">SUM(Q3:Q41)</f>
        <v>826</v>
      </c>
      <c r="R42" s="35">
        <f t="shared" ref="R42" si="18">SUM(R3:R41)</f>
        <v>1602.2</v>
      </c>
      <c r="S42" s="35">
        <f t="shared" ref="S42" si="19">SUM(S3:S41)</f>
        <v>0</v>
      </c>
      <c r="T42" s="35">
        <f t="shared" ref="T42" si="20">SUM(T3:T41)</f>
        <v>2450.1</v>
      </c>
      <c r="U42" s="35">
        <f t="shared" ref="U42" si="21">SUM(U3:U41)</f>
        <v>2634.6</v>
      </c>
      <c r="V42" s="35">
        <f t="shared" ref="V42" si="22">SUM(V3:V41)</f>
        <v>1818.4</v>
      </c>
      <c r="W42" s="35">
        <f t="shared" ref="W42" si="23">SUM(W3:W41)</f>
        <v>0</v>
      </c>
      <c r="X42" s="35">
        <f t="shared" ref="X42" si="24">SUM(X3:X41)</f>
        <v>500</v>
      </c>
      <c r="Y42" s="35">
        <f t="shared" ref="Y42" si="25">SUM(Y3:Y41)</f>
        <v>355</v>
      </c>
      <c r="Z42" s="35">
        <f t="shared" ref="Z42" si="26">SUM(Z3:Z41)</f>
        <v>550</v>
      </c>
      <c r="AA42" s="35">
        <f t="shared" ref="AA42" si="27">SUM(AA3:AA41)</f>
        <v>4768.5</v>
      </c>
      <c r="AB42" s="35">
        <f t="shared" ref="AB42" si="28">SUM(AB3:AB41)</f>
        <v>3312.2</v>
      </c>
      <c r="AC42" s="35">
        <f t="shared" ref="AC42" si="29">SUM(AC3:AC41)</f>
        <v>132675.40000000002</v>
      </c>
      <c r="AD42" s="35">
        <f t="shared" ref="AD42" si="30">SUM(AD3:AD41)</f>
        <v>300</v>
      </c>
      <c r="AE42" s="35">
        <f t="shared" ref="AE42" si="31">SUM(AE3:AE41)</f>
        <v>9459.4</v>
      </c>
      <c r="AF42" s="35">
        <f t="shared" ref="AF42" si="32">SUM(AF3:AF41)</f>
        <v>0</v>
      </c>
      <c r="AG42" s="35">
        <f t="shared" ref="AG42" si="33">SUM(AG3:AG41)</f>
        <v>0</v>
      </c>
      <c r="AH42" s="35">
        <f t="shared" ref="AH42" si="34">SUM(AH3:AH41)</f>
        <v>0</v>
      </c>
      <c r="AI42" s="35">
        <f t="shared" ref="AI42" si="35">SUM(AI3:AI41)</f>
        <v>38773.179999999993</v>
      </c>
      <c r="AJ42" s="35">
        <f t="shared" ref="AJ42" si="36">SUM(AJ3:AJ41)</f>
        <v>64846.308999999994</v>
      </c>
      <c r="AK42" s="35">
        <f t="shared" ref="AK42" si="37">SUM(AK3:AK41)</f>
        <v>70.099999999999994</v>
      </c>
      <c r="AL42" s="35">
        <f t="shared" ref="AL42" si="38">SUM(AL3:AL41)</f>
        <v>910</v>
      </c>
      <c r="AM42" s="35">
        <f t="shared" ref="AM42" si="39">SUM(AM3:AM41)</f>
        <v>11695.6</v>
      </c>
      <c r="AN42" s="35">
        <f t="shared" ref="AN42" si="40">SUM(AN3:AN41)</f>
        <v>0</v>
      </c>
      <c r="AO42" s="35">
        <f t="shared" ref="AO42" si="41">SUM(AO3:AO41)</f>
        <v>3570</v>
      </c>
      <c r="AP42" s="35">
        <f t="shared" ref="AP42" si="42">SUM(AP3:AP41)</f>
        <v>0</v>
      </c>
      <c r="AQ42" s="35">
        <f t="shared" ref="AQ42" si="43">SUM(AQ3:AQ41)</f>
        <v>1000</v>
      </c>
      <c r="AR42" s="35">
        <f t="shared" ref="AR42" si="44">SUM(AR3:AR41)</f>
        <v>0</v>
      </c>
      <c r="AS42" s="35">
        <f t="shared" ref="AS42" si="45">SUM(AS3:AS41)</f>
        <v>3000.3</v>
      </c>
      <c r="AT42" s="35">
        <f t="shared" ref="AT42" si="46">SUM(AT3:AT41)</f>
        <v>1500</v>
      </c>
      <c r="AU42" s="35">
        <f t="shared" ref="AU42" si="47">SUM(AU3:AU41)</f>
        <v>1954.5</v>
      </c>
      <c r="AV42" s="35">
        <f t="shared" ref="AV42" si="48">SUM(AV3:AV41)</f>
        <v>142.03399999999999</v>
      </c>
      <c r="AW42" s="35">
        <f t="shared" ref="AW42" si="49">SUM(AW3:AW41)</f>
        <v>189.38399999999999</v>
      </c>
      <c r="AX42" s="35">
        <f t="shared" ref="AX42" si="50">SUM(AX3:AX41)</f>
        <v>18.2</v>
      </c>
      <c r="AY42" s="35">
        <f t="shared" ref="AY42" si="51">SUM(AY3:AY41)</f>
        <v>1043.5</v>
      </c>
      <c r="AZ42" s="35">
        <f t="shared" ref="AZ42" si="52">SUM(AZ3:AZ41)</f>
        <v>0</v>
      </c>
      <c r="BA42" s="35">
        <f t="shared" ref="BA42" si="53">SUM(BA3:BA41)</f>
        <v>0</v>
      </c>
      <c r="BB42" s="35">
        <f t="shared" ref="BB42" si="54">SUM(BB3:BB41)</f>
        <v>4450.7550000000001</v>
      </c>
      <c r="BC42" s="35">
        <f t="shared" ref="BC42" si="55">SUM(BC3:BC41)</f>
        <v>10251.89</v>
      </c>
      <c r="BD42" s="35">
        <f t="shared" ref="BD42" si="56">SUM(BD3:BD41)</f>
        <v>9760.8000000000011</v>
      </c>
      <c r="BE42" s="35">
        <f t="shared" ref="BE42" si="57">SUM(BE3:BE41)</f>
        <v>1094</v>
      </c>
      <c r="BF42" s="35">
        <f t="shared" ref="BF42" si="58">SUM(BF3:BF41)</f>
        <v>252.24100000000001</v>
      </c>
      <c r="BG42" s="35">
        <f t="shared" ref="BG42" si="59">SUM(BG3:BG41)</f>
        <v>42797</v>
      </c>
      <c r="BH42" s="35">
        <f t="shared" ref="BH42" si="60">SUM(BH3:BH41)</f>
        <v>641.79999999999995</v>
      </c>
      <c r="BI42" s="35">
        <f t="shared" ref="BI42" si="61">SUM(BI3:BI41)</f>
        <v>15388.9</v>
      </c>
      <c r="BJ42" s="35">
        <f t="shared" ref="BJ42" si="62">SUM(BJ3:BJ41)</f>
        <v>598037.80000000005</v>
      </c>
      <c r="BK42" s="35">
        <f t="shared" ref="BK42" si="63">SUM(BK3:BK41)</f>
        <v>11083.2</v>
      </c>
      <c r="BL42" s="35">
        <f t="shared" ref="BL42" si="64">SUM(BL3:BL41)</f>
        <v>49804.800000000003</v>
      </c>
      <c r="BM42" s="35">
        <f t="shared" ref="BM42" si="65">SUM(BM3:BM41)</f>
        <v>1266</v>
      </c>
      <c r="BN42" s="35">
        <f t="shared" ref="BN42" si="66">SUM(BN3:BN41)</f>
        <v>0</v>
      </c>
      <c r="BO42" s="35">
        <f t="shared" ref="BO42" si="67">SUM(BO3:BO41)</f>
        <v>8069.3590000000004</v>
      </c>
      <c r="BP42" s="35">
        <f t="shared" ref="BP42" si="68">SUM(BP3:BP41)</f>
        <v>0</v>
      </c>
      <c r="BQ42" s="35">
        <f t="shared" ref="BQ42" si="69">SUM(BQ3:BQ41)</f>
        <v>40199.699999999997</v>
      </c>
      <c r="BR42" s="35">
        <f t="shared" ref="BR42" si="70">SUM(BR3:BR41)</f>
        <v>39514</v>
      </c>
      <c r="BS42" s="35">
        <f t="shared" ref="BS42" si="71">SUM(BS3:BS41)</f>
        <v>128</v>
      </c>
      <c r="BT42" s="35">
        <f t="shared" ref="BT42" si="72">SUM(BT3:BT41)</f>
        <v>12000</v>
      </c>
      <c r="BU42" s="35">
        <f t="shared" ref="BU42" si="73">SUM(BU3:BU41)</f>
        <v>0</v>
      </c>
      <c r="BV42" s="35">
        <f t="shared" ref="BV42" si="74">SUM(BV3:BV41)</f>
        <v>0</v>
      </c>
      <c r="BW42" s="35">
        <f t="shared" ref="BW42" si="75">SUM(BW3:BW41)</f>
        <v>83608.7</v>
      </c>
      <c r="BX42" s="35">
        <f t="shared" ref="BX42" si="76">SUM(BX3:BX41)</f>
        <v>0</v>
      </c>
      <c r="BY42" s="35">
        <f t="shared" ref="BY42:CI42" si="77">SUM(BY3:BY41)</f>
        <v>7210.6</v>
      </c>
      <c r="BZ42" s="35">
        <f t="shared" si="77"/>
        <v>0</v>
      </c>
      <c r="CA42" s="35">
        <f t="shared" si="77"/>
        <v>0</v>
      </c>
      <c r="CB42" s="35">
        <f t="shared" si="77"/>
        <v>0</v>
      </c>
      <c r="CC42" s="35">
        <f t="shared" si="77"/>
        <v>0</v>
      </c>
      <c r="CD42" s="35">
        <f t="shared" si="77"/>
        <v>0</v>
      </c>
      <c r="CE42" s="35">
        <f t="shared" si="77"/>
        <v>43.8</v>
      </c>
      <c r="CF42" s="35">
        <f t="shared" si="77"/>
        <v>61511.5</v>
      </c>
      <c r="CG42" s="35">
        <f t="shared" si="77"/>
        <v>0</v>
      </c>
      <c r="CH42" s="35">
        <f t="shared" si="77"/>
        <v>1552279.0519999999</v>
      </c>
      <c r="CI42" s="407">
        <f t="shared" si="77"/>
        <v>1098462.8450000002</v>
      </c>
      <c r="CJ42" s="409">
        <f>SUM(B42:CG42)</f>
        <v>1552279.0520000001</v>
      </c>
    </row>
    <row r="43" spans="1:88">
      <c r="AD43" s="132"/>
      <c r="AE43" s="132">
        <f>SUM(B42:AE42)</f>
        <v>426451.10000000003</v>
      </c>
      <c r="AG43" s="133"/>
      <c r="AH43" s="133">
        <f>AF42+AG42+AH42</f>
        <v>0</v>
      </c>
      <c r="AI43" s="133"/>
      <c r="AJ43" s="133"/>
      <c r="AK43" s="133"/>
      <c r="AL43" s="133"/>
      <c r="AM43" s="133"/>
      <c r="AN43" s="133"/>
      <c r="AO43" s="403"/>
      <c r="AP43" s="133"/>
      <c r="AQ43" s="134">
        <f>AI42+AJ42+AK42+AL42+AM42+AN42+AP42+AQ42</f>
        <v>117295.189</v>
      </c>
      <c r="AR43" s="133">
        <f>AR42</f>
        <v>0</v>
      </c>
      <c r="AS43" s="134"/>
      <c r="AT43" s="408"/>
      <c r="AU43" s="134"/>
      <c r="AV43" s="134"/>
      <c r="AW43" s="133">
        <f>AS42+AU42+AV42+AW42</f>
        <v>5286.2179999999998</v>
      </c>
      <c r="AZ43" s="133">
        <f>AX42+AY42+AZ42</f>
        <v>1061.7</v>
      </c>
      <c r="BA43" s="133"/>
      <c r="BJ43" s="403">
        <f>BB42+BC42+BD42+BE42+BG42+BH42+BI42+BJ42</f>
        <v>682422.94500000007</v>
      </c>
      <c r="BK43" s="133"/>
      <c r="BO43" s="403">
        <f>BL42+BN42+BO42</f>
        <v>57874.159</v>
      </c>
      <c r="CG43" s="134">
        <f>SUM(BP42:CG42)</f>
        <v>244216.3</v>
      </c>
      <c r="CI43" s="407"/>
    </row>
  </sheetData>
  <pageMargins left="0.31496062992125984" right="0" top="1.1417322834645669" bottom="0.19685039370078741"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dimension ref="A2:BY42"/>
  <sheetViews>
    <sheetView zoomScaleNormal="100" zoomScaleSheetLayoutView="100" workbookViewId="0">
      <pane xSplit="1" ySplit="2" topLeftCell="P12" activePane="bottomRight" state="frozen"/>
      <selection pane="topRight" activeCell="B1" sqref="B1"/>
      <selection pane="bottomLeft" activeCell="A3" sqref="A3"/>
      <selection pane="bottomRight" sqref="A1:XFD1048576"/>
    </sheetView>
  </sheetViews>
  <sheetFormatPr defaultRowHeight="12.75"/>
  <cols>
    <col min="1" max="1" width="6" style="130" customWidth="1"/>
    <col min="2" max="2" width="7.42578125" style="131" customWidth="1"/>
    <col min="3" max="3" width="8.5703125" style="131" hidden="1" customWidth="1"/>
    <col min="4" max="4" width="7.7109375" style="131" customWidth="1"/>
    <col min="5" max="5" width="8.5703125" style="131" customWidth="1"/>
    <col min="6" max="6" width="7.42578125" style="131" customWidth="1"/>
    <col min="7" max="7" width="6.140625" style="131" customWidth="1"/>
    <col min="8" max="8" width="9.140625" style="131" customWidth="1"/>
    <col min="9" max="9" width="8.140625" style="131" customWidth="1"/>
    <col min="10" max="10" width="8.42578125" style="131" customWidth="1"/>
    <col min="11" max="11" width="8.28515625" style="131" customWidth="1"/>
    <col min="12" max="12" width="7.42578125" style="131" customWidth="1"/>
    <col min="13" max="13" width="6.28515625" style="131" customWidth="1"/>
    <col min="14" max="14" width="7.28515625" style="131" customWidth="1"/>
    <col min="15" max="15" width="7.42578125" style="131" hidden="1" customWidth="1"/>
    <col min="16" max="16" width="7.42578125" style="131" customWidth="1"/>
    <col min="17" max="17" width="8.42578125" style="131" customWidth="1"/>
    <col min="18" max="18" width="8.42578125" style="131" hidden="1" customWidth="1"/>
    <col min="19" max="19" width="7.85546875" style="131" customWidth="1"/>
    <col min="20" max="20" width="6" style="131" customWidth="1"/>
    <col min="21" max="21" width="7.42578125" style="131" customWidth="1"/>
    <col min="22" max="22" width="7.28515625" style="131" customWidth="1"/>
    <col min="23" max="23" width="8.42578125" style="131" hidden="1" customWidth="1"/>
    <col min="24" max="24" width="6" style="131" customWidth="1"/>
    <col min="25" max="25" width="8.28515625" style="131" customWidth="1"/>
    <col min="26" max="26" width="8.28515625" style="36" hidden="1" customWidth="1"/>
    <col min="27" max="27" width="8.42578125" style="36" hidden="1" customWidth="1"/>
    <col min="28" max="28" width="7.85546875" style="36" hidden="1" customWidth="1"/>
    <col min="29" max="30" width="8.140625" style="36" customWidth="1"/>
    <col min="31" max="31" width="6.28515625" style="36" customWidth="1"/>
    <col min="32" max="32" width="6" style="36" customWidth="1"/>
    <col min="33" max="33" width="8.28515625" style="36" customWidth="1"/>
    <col min="34" max="35" width="7.28515625" style="36" hidden="1" customWidth="1"/>
    <col min="36" max="36" width="7.7109375" style="36" customWidth="1"/>
    <col min="37" max="37" width="6" style="36" customWidth="1"/>
    <col min="38" max="38" width="7.7109375" style="36" customWidth="1"/>
    <col min="39" max="39" width="7.85546875" style="36" customWidth="1"/>
    <col min="40" max="40" width="6" style="36" customWidth="1"/>
    <col min="41" max="41" width="7" style="36" bestFit="1" customWidth="1"/>
    <col min="42" max="42" width="5.28515625" style="36" hidden="1" customWidth="1"/>
    <col min="43" max="43" width="6.140625" style="36" hidden="1" customWidth="1"/>
    <col min="44" max="44" width="5.7109375" style="36" hidden="1" customWidth="1"/>
    <col min="45" max="45" width="4.42578125" style="36" hidden="1" customWidth="1"/>
    <col min="46" max="48" width="7.42578125" style="36" hidden="1" customWidth="1"/>
    <col min="49" max="49" width="6.140625" style="36" hidden="1" customWidth="1"/>
    <col min="50" max="50" width="6" style="36" hidden="1" customWidth="1"/>
    <col min="51" max="51" width="8.140625" style="36" hidden="1" customWidth="1"/>
    <col min="52" max="52" width="6.42578125" style="36" hidden="1" customWidth="1"/>
    <col min="53" max="53" width="8.5703125" style="36" hidden="1" customWidth="1"/>
    <col min="54" max="54" width="9.5703125" style="36" hidden="1" customWidth="1"/>
    <col min="55" max="55" width="8.5703125" style="36" customWidth="1"/>
    <col min="56" max="56" width="4.42578125" style="36" hidden="1" customWidth="1"/>
    <col min="57" max="57" width="7.42578125" style="36" hidden="1" customWidth="1"/>
    <col min="58" max="58" width="7.85546875" style="36" customWidth="1"/>
    <col min="59" max="59" width="6.28515625" style="36" hidden="1" customWidth="1"/>
    <col min="60" max="60" width="9.140625" style="36" hidden="1" customWidth="1"/>
    <col min="61" max="61" width="8.140625" style="36" hidden="1" customWidth="1"/>
    <col min="62" max="62" width="6.140625" style="36" hidden="1" customWidth="1"/>
    <col min="63" max="63" width="7.42578125" style="36" hidden="1" customWidth="1"/>
    <col min="64" max="64" width="4" style="36" hidden="1" customWidth="1"/>
    <col min="65" max="65" width="4.42578125" style="36" hidden="1" customWidth="1"/>
    <col min="66" max="66" width="8.42578125" style="36" hidden="1" customWidth="1"/>
    <col min="67" max="67" width="6.42578125" style="36" hidden="1" customWidth="1"/>
    <col min="68" max="68" width="7.42578125" style="36" hidden="1" customWidth="1"/>
    <col min="69" max="69" width="6.140625" style="36" hidden="1" customWidth="1"/>
    <col min="70" max="70" width="8.42578125" style="36" hidden="1" customWidth="1"/>
    <col min="71" max="72" width="7.42578125" style="36" hidden="1" customWidth="1"/>
    <col min="73" max="73" width="4.42578125" style="36" hidden="1" customWidth="1"/>
    <col min="74" max="74" width="8.42578125" style="36" customWidth="1"/>
    <col min="75" max="75" width="7.42578125" style="36" customWidth="1"/>
    <col min="76" max="76" width="10.5703125" style="36" customWidth="1"/>
    <col min="77" max="77" width="10.140625" style="36" bestFit="1" customWidth="1"/>
    <col min="78" max="16384" width="9.140625" style="36"/>
  </cols>
  <sheetData>
    <row r="2" spans="1:76" s="127" customFormat="1">
      <c r="A2" s="126"/>
      <c r="B2" s="379" t="s">
        <v>34</v>
      </c>
      <c r="C2" s="379" t="s">
        <v>393</v>
      </c>
      <c r="D2" s="379" t="s">
        <v>39</v>
      </c>
      <c r="E2" s="379" t="s">
        <v>602</v>
      </c>
      <c r="F2" s="379" t="s">
        <v>388</v>
      </c>
      <c r="G2" s="379" t="s">
        <v>42</v>
      </c>
      <c r="H2" s="379" t="s">
        <v>746</v>
      </c>
      <c r="I2" s="379" t="s">
        <v>386</v>
      </c>
      <c r="J2" s="379" t="s">
        <v>568</v>
      </c>
      <c r="K2" s="379" t="s">
        <v>612</v>
      </c>
      <c r="L2" s="379" t="s">
        <v>574</v>
      </c>
      <c r="M2" s="379" t="s">
        <v>44</v>
      </c>
      <c r="N2" s="379" t="s">
        <v>575</v>
      </c>
      <c r="O2" s="379" t="s">
        <v>854</v>
      </c>
      <c r="P2" s="379" t="s">
        <v>739</v>
      </c>
      <c r="Q2" s="379" t="s">
        <v>567</v>
      </c>
      <c r="R2" s="379" t="s">
        <v>1040</v>
      </c>
      <c r="S2" s="379" t="s">
        <v>744</v>
      </c>
      <c r="T2" s="379" t="s">
        <v>745</v>
      </c>
      <c r="U2" s="379" t="s">
        <v>623</v>
      </c>
      <c r="V2" s="379" t="s">
        <v>627</v>
      </c>
      <c r="W2" s="379" t="s">
        <v>749</v>
      </c>
      <c r="X2" s="379" t="s">
        <v>45</v>
      </c>
      <c r="Y2" s="379" t="s">
        <v>747</v>
      </c>
      <c r="Z2" s="379" t="s">
        <v>48</v>
      </c>
      <c r="AA2" s="379" t="s">
        <v>748</v>
      </c>
      <c r="AB2" s="379" t="s">
        <v>736</v>
      </c>
      <c r="AC2" s="379" t="s">
        <v>564</v>
      </c>
      <c r="AD2" s="379" t="s">
        <v>569</v>
      </c>
      <c r="AE2" s="379" t="s">
        <v>773</v>
      </c>
      <c r="AF2" s="379" t="s">
        <v>565</v>
      </c>
      <c r="AG2" s="379" t="s">
        <v>740</v>
      </c>
      <c r="AH2" s="379" t="s">
        <v>737</v>
      </c>
      <c r="AI2" s="379" t="s">
        <v>735</v>
      </c>
      <c r="AJ2" s="379" t="s">
        <v>738</v>
      </c>
      <c r="AK2" s="379" t="s">
        <v>566</v>
      </c>
      <c r="AL2" s="379" t="s">
        <v>52</v>
      </c>
      <c r="AM2" s="379" t="s">
        <v>741</v>
      </c>
      <c r="AN2" s="379" t="s">
        <v>742</v>
      </c>
      <c r="AO2" s="379" t="s">
        <v>743</v>
      </c>
      <c r="AP2" s="379" t="s">
        <v>751</v>
      </c>
      <c r="AQ2" s="379" t="s">
        <v>759</v>
      </c>
      <c r="AR2" s="379" t="s">
        <v>754</v>
      </c>
      <c r="AS2" s="379" t="s">
        <v>857</v>
      </c>
      <c r="AT2" s="379" t="s">
        <v>576</v>
      </c>
      <c r="AU2" s="379" t="s">
        <v>750</v>
      </c>
      <c r="AV2" s="379" t="s">
        <v>752</v>
      </c>
      <c r="AW2" s="379" t="s">
        <v>755</v>
      </c>
      <c r="AX2" s="379" t="s">
        <v>910</v>
      </c>
      <c r="AY2" s="379" t="s">
        <v>758</v>
      </c>
      <c r="AZ2" s="379" t="s">
        <v>753</v>
      </c>
      <c r="BA2" s="379" t="s">
        <v>909</v>
      </c>
      <c r="BB2" s="379" t="s">
        <v>756</v>
      </c>
      <c r="BC2" s="379" t="s">
        <v>772</v>
      </c>
      <c r="BD2" s="379" t="s">
        <v>855</v>
      </c>
      <c r="BE2" s="379" t="s">
        <v>761</v>
      </c>
      <c r="BF2" s="379" t="s">
        <v>769</v>
      </c>
      <c r="BG2" s="379" t="s">
        <v>760</v>
      </c>
      <c r="BH2" s="379" t="s">
        <v>767</v>
      </c>
      <c r="BI2" s="379" t="s">
        <v>764</v>
      </c>
      <c r="BJ2" s="379" t="s">
        <v>676</v>
      </c>
      <c r="BK2" s="379" t="s">
        <v>677</v>
      </c>
      <c r="BL2" s="379" t="s">
        <v>680</v>
      </c>
      <c r="BM2" s="379" t="s">
        <v>762</v>
      </c>
      <c r="BN2" s="379" t="s">
        <v>765</v>
      </c>
      <c r="BO2" s="379" t="s">
        <v>911</v>
      </c>
      <c r="BP2" s="379" t="s">
        <v>771</v>
      </c>
      <c r="BQ2" s="379" t="s">
        <v>687</v>
      </c>
      <c r="BR2" s="379" t="s">
        <v>768</v>
      </c>
      <c r="BS2" s="379" t="s">
        <v>856</v>
      </c>
      <c r="BT2" s="379" t="s">
        <v>949</v>
      </c>
      <c r="BU2" s="379" t="s">
        <v>763</v>
      </c>
      <c r="BV2" s="379" t="s">
        <v>702</v>
      </c>
      <c r="BW2" s="379" t="s">
        <v>770</v>
      </c>
      <c r="BX2" s="380" t="s">
        <v>406</v>
      </c>
    </row>
    <row r="3" spans="1:76">
      <c r="A3" s="128" t="s">
        <v>379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f>548.2</f>
        <v>548.20000000000005</v>
      </c>
      <c r="AD3" s="35">
        <v>1822</v>
      </c>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222">
        <f>SUM(B3:BW3)</f>
        <v>2370.1999999999998</v>
      </c>
    </row>
    <row r="4" spans="1:76">
      <c r="A4" s="128" t="s">
        <v>380</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f>628.5+432.655</f>
        <v>1061.155</v>
      </c>
      <c r="AD4" s="35">
        <v>1393.2449999999999</v>
      </c>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222">
        <f t="shared" ref="BX4:BX40" si="0">SUM(B4:BW4)</f>
        <v>2454.3999999999996</v>
      </c>
    </row>
    <row r="5" spans="1:76">
      <c r="A5" s="128" t="s">
        <v>381</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f>151.3+22489.439</f>
        <v>22640.738999999998</v>
      </c>
      <c r="AD5" s="35">
        <v>28048.35</v>
      </c>
      <c r="AE5" s="35"/>
      <c r="AF5" s="35">
        <v>910</v>
      </c>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222">
        <f t="shared" si="0"/>
        <v>51599.088999999993</v>
      </c>
    </row>
    <row r="6" spans="1:76">
      <c r="A6" s="128" t="s">
        <v>445</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222">
        <f t="shared" si="0"/>
        <v>0</v>
      </c>
    </row>
    <row r="7" spans="1:76">
      <c r="A7" s="128" t="s">
        <v>382</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f>5594.195+60+245.891</f>
        <v>5900.0859999999993</v>
      </c>
      <c r="AD7" s="35">
        <f>13964.005+814.209</f>
        <v>14778.214</v>
      </c>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222">
        <f t="shared" si="0"/>
        <v>20678.3</v>
      </c>
    </row>
    <row r="8" spans="1:76">
      <c r="A8" s="128" t="s">
        <v>453</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222">
        <f t="shared" si="0"/>
        <v>0</v>
      </c>
    </row>
    <row r="9" spans="1:76">
      <c r="A9" s="128" t="s">
        <v>383</v>
      </c>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v>1500</v>
      </c>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222">
        <f t="shared" si="0"/>
        <v>1500</v>
      </c>
    </row>
    <row r="10" spans="1:76">
      <c r="A10" s="128" t="s">
        <v>384</v>
      </c>
      <c r="B10" s="35">
        <v>3153.1</v>
      </c>
      <c r="C10" s="35"/>
      <c r="D10" s="35"/>
      <c r="E10" s="35"/>
      <c r="F10" s="35"/>
      <c r="G10" s="35"/>
      <c r="H10" s="35"/>
      <c r="I10" s="35"/>
      <c r="J10" s="35"/>
      <c r="K10" s="35"/>
      <c r="L10" s="35"/>
      <c r="M10" s="35"/>
      <c r="N10" s="35"/>
      <c r="O10" s="35"/>
      <c r="P10" s="35">
        <v>2450.1</v>
      </c>
      <c r="Q10" s="35"/>
      <c r="R10" s="35"/>
      <c r="S10" s="35"/>
      <c r="T10" s="35"/>
      <c r="U10" s="35"/>
      <c r="V10" s="35"/>
      <c r="W10" s="35"/>
      <c r="X10" s="35"/>
      <c r="Y10" s="35"/>
      <c r="Z10" s="35"/>
      <c r="AA10" s="35"/>
      <c r="AB10" s="35"/>
      <c r="AC10" s="35"/>
      <c r="AD10" s="35"/>
      <c r="AE10" s="35"/>
      <c r="AF10" s="35"/>
      <c r="AG10" s="35">
        <f>2820.9+8854.7+20</f>
        <v>11695.6</v>
      </c>
      <c r="AH10" s="35"/>
      <c r="AI10" s="35"/>
      <c r="AJ10" s="35"/>
      <c r="AK10" s="35"/>
      <c r="AL10" s="35"/>
      <c r="AM10" s="35">
        <v>1954.5</v>
      </c>
      <c r="AN10" s="35">
        <f>127.034+15</f>
        <v>142.03399999999999</v>
      </c>
      <c r="AO10" s="35">
        <f>189.384</f>
        <v>189.38399999999999</v>
      </c>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222">
        <f t="shared" si="0"/>
        <v>19584.717999999997</v>
      </c>
    </row>
    <row r="11" spans="1:76">
      <c r="A11" s="128" t="s">
        <v>407</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222">
        <f t="shared" si="0"/>
        <v>0</v>
      </c>
    </row>
    <row r="12" spans="1:76">
      <c r="A12" s="128" t="s">
        <v>387</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222">
        <f t="shared" si="0"/>
        <v>0</v>
      </c>
    </row>
    <row r="13" spans="1:76">
      <c r="A13" s="128" t="s">
        <v>408</v>
      </c>
      <c r="B13" s="35"/>
      <c r="C13" s="35"/>
      <c r="D13" s="35"/>
      <c r="E13" s="35"/>
      <c r="F13" s="35"/>
      <c r="G13" s="35">
        <f>150+158.1</f>
        <v>308.10000000000002</v>
      </c>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222">
        <f t="shared" si="0"/>
        <v>308.10000000000002</v>
      </c>
    </row>
    <row r="14" spans="1:76">
      <c r="A14" s="128" t="s">
        <v>410</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222">
        <f t="shared" si="0"/>
        <v>0</v>
      </c>
    </row>
    <row r="15" spans="1:76">
      <c r="A15" s="128" t="s">
        <v>389</v>
      </c>
      <c r="B15" s="35"/>
      <c r="C15" s="35"/>
      <c r="D15" s="35"/>
      <c r="E15" s="35"/>
      <c r="F15" s="35"/>
      <c r="G15" s="35"/>
      <c r="H15" s="35"/>
      <c r="I15" s="35"/>
      <c r="J15" s="35"/>
      <c r="K15" s="35"/>
      <c r="L15" s="35"/>
      <c r="M15" s="35"/>
      <c r="N15" s="35"/>
      <c r="O15" s="35"/>
      <c r="P15" s="35"/>
      <c r="Q15" s="35"/>
      <c r="R15" s="35"/>
      <c r="S15" s="35"/>
      <c r="T15" s="35">
        <v>355</v>
      </c>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222">
        <f t="shared" si="0"/>
        <v>355</v>
      </c>
    </row>
    <row r="16" spans="1:76">
      <c r="A16" s="128" t="s">
        <v>390</v>
      </c>
      <c r="B16" s="35"/>
      <c r="C16" s="35"/>
      <c r="D16" s="35"/>
      <c r="E16" s="35"/>
      <c r="F16" s="35"/>
      <c r="G16" s="35"/>
      <c r="H16" s="35"/>
      <c r="I16" s="35"/>
      <c r="J16" s="35"/>
      <c r="K16" s="35"/>
      <c r="L16" s="35"/>
      <c r="M16" s="35"/>
      <c r="N16" s="35"/>
      <c r="O16" s="35"/>
      <c r="P16" s="35"/>
      <c r="Q16" s="35"/>
      <c r="R16" s="35"/>
      <c r="S16" s="35">
        <v>1000</v>
      </c>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222">
        <f t="shared" si="0"/>
        <v>1000</v>
      </c>
    </row>
    <row r="17" spans="1:76">
      <c r="A17" s="128" t="s">
        <v>391</v>
      </c>
      <c r="B17" s="35"/>
      <c r="C17" s="35"/>
      <c r="D17" s="35"/>
      <c r="E17" s="35">
        <f>3216.2</f>
        <v>3216.2</v>
      </c>
      <c r="F17" s="35">
        <v>3356.2</v>
      </c>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222">
        <f t="shared" si="0"/>
        <v>6572.4</v>
      </c>
    </row>
    <row r="18" spans="1:76">
      <c r="A18" s="128" t="s">
        <v>392</v>
      </c>
      <c r="B18" s="35"/>
      <c r="C18" s="35"/>
      <c r="D18" s="35">
        <v>6545.3</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222">
        <f t="shared" si="0"/>
        <v>6545.3</v>
      </c>
    </row>
    <row r="19" spans="1:76">
      <c r="A19" s="128" t="s">
        <v>766</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222">
        <f t="shared" si="0"/>
        <v>0</v>
      </c>
    </row>
    <row r="20" spans="1:76">
      <c r="A20" s="128" t="s">
        <v>394</v>
      </c>
      <c r="B20" s="35"/>
      <c r="C20" s="35"/>
      <c r="D20" s="35"/>
      <c r="E20" s="35"/>
      <c r="F20" s="35"/>
      <c r="G20" s="35"/>
      <c r="H20" s="35"/>
      <c r="I20" s="35"/>
      <c r="J20" s="35"/>
      <c r="K20" s="35"/>
      <c r="L20" s="35"/>
      <c r="M20" s="35"/>
      <c r="N20" s="35"/>
      <c r="O20" s="35"/>
      <c r="P20" s="35"/>
      <c r="Q20" s="35"/>
      <c r="R20" s="35"/>
      <c r="S20" s="35"/>
      <c r="T20" s="35"/>
      <c r="U20" s="35">
        <v>550</v>
      </c>
      <c r="V20" s="35"/>
      <c r="W20" s="35"/>
      <c r="X20" s="35"/>
      <c r="Y20" s="35"/>
      <c r="Z20" s="35"/>
      <c r="AA20" s="35"/>
      <c r="AB20" s="35"/>
      <c r="AC20" s="35"/>
      <c r="AD20" s="35"/>
      <c r="AE20" s="35"/>
      <c r="AF20" s="35"/>
      <c r="AG20" s="35"/>
      <c r="AH20" s="35"/>
      <c r="AI20" s="35"/>
      <c r="AJ20" s="35"/>
      <c r="AK20" s="35">
        <v>245.7</v>
      </c>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222">
        <f t="shared" si="0"/>
        <v>795.7</v>
      </c>
    </row>
    <row r="21" spans="1:76">
      <c r="A21" s="128" t="s">
        <v>409</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222">
        <f t="shared" si="0"/>
        <v>0</v>
      </c>
    </row>
    <row r="22" spans="1:76">
      <c r="A22" s="128" t="s">
        <v>395</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222">
        <f t="shared" si="0"/>
        <v>0</v>
      </c>
    </row>
    <row r="23" spans="1:76">
      <c r="A23" s="128" t="s">
        <v>396</v>
      </c>
      <c r="B23" s="35"/>
      <c r="C23" s="35"/>
      <c r="D23" s="35"/>
      <c r="E23" s="35"/>
      <c r="F23" s="35"/>
      <c r="G23" s="35"/>
      <c r="H23" s="35"/>
      <c r="I23" s="35"/>
      <c r="J23" s="35"/>
      <c r="K23" s="35"/>
      <c r="L23" s="35"/>
      <c r="M23" s="35"/>
      <c r="N23" s="35">
        <v>3092.2</v>
      </c>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222">
        <f t="shared" si="0"/>
        <v>3092.2</v>
      </c>
    </row>
    <row r="24" spans="1:76" hidden="1">
      <c r="A24" s="128" t="s">
        <v>505</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222">
        <f t="shared" si="0"/>
        <v>0</v>
      </c>
    </row>
    <row r="25" spans="1:76">
      <c r="A25" s="128" t="s">
        <v>397</v>
      </c>
      <c r="B25" s="35"/>
      <c r="C25" s="35"/>
      <c r="D25" s="35"/>
      <c r="E25" s="35"/>
      <c r="F25" s="35"/>
      <c r="G25" s="35"/>
      <c r="H25" s="35">
        <v>75325</v>
      </c>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222">
        <f t="shared" si="0"/>
        <v>75325</v>
      </c>
    </row>
    <row r="26" spans="1:76">
      <c r="A26" s="128" t="s">
        <v>398</v>
      </c>
      <c r="B26" s="35"/>
      <c r="C26" s="35"/>
      <c r="D26" s="35"/>
      <c r="E26" s="35"/>
      <c r="F26" s="35"/>
      <c r="G26" s="35"/>
      <c r="H26" s="35">
        <v>32241.5</v>
      </c>
      <c r="I26" s="35">
        <f>246.2+22297.545+1661.4</f>
        <v>24205.145</v>
      </c>
      <c r="J26" s="35">
        <f>38114.755+80+1305.5</f>
        <v>39500.254999999997</v>
      </c>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222">
        <f t="shared" si="0"/>
        <v>95946.9</v>
      </c>
    </row>
    <row r="27" spans="1:76">
      <c r="A27" s="128" t="s">
        <v>454</v>
      </c>
      <c r="B27" s="35"/>
      <c r="C27" s="35"/>
      <c r="D27" s="35"/>
      <c r="E27" s="35"/>
      <c r="F27" s="35"/>
      <c r="G27" s="35"/>
      <c r="H27" s="35"/>
      <c r="I27" s="35"/>
      <c r="J27" s="35"/>
      <c r="K27" s="35">
        <f>44291.8+3518.1</f>
        <v>47809.9</v>
      </c>
      <c r="L27" s="35"/>
      <c r="M27" s="35">
        <v>506.6</v>
      </c>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222">
        <f t="shared" si="0"/>
        <v>48316.5</v>
      </c>
    </row>
    <row r="28" spans="1:76">
      <c r="A28" s="128" t="s">
        <v>399</v>
      </c>
      <c r="B28" s="35"/>
      <c r="C28" s="35"/>
      <c r="D28" s="35"/>
      <c r="E28" s="35"/>
      <c r="F28" s="35"/>
      <c r="G28" s="35"/>
      <c r="H28" s="35"/>
      <c r="I28" s="35"/>
      <c r="J28" s="35"/>
      <c r="K28" s="35"/>
      <c r="L28" s="35">
        <v>2937.5</v>
      </c>
      <c r="M28" s="35"/>
      <c r="N28" s="35"/>
      <c r="O28" s="35"/>
      <c r="P28" s="35"/>
      <c r="Q28" s="35"/>
      <c r="R28" s="35"/>
      <c r="S28" s="35"/>
      <c r="T28" s="35"/>
      <c r="U28" s="35"/>
      <c r="V28" s="35"/>
      <c r="W28" s="35"/>
      <c r="X28" s="35">
        <v>300</v>
      </c>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222">
        <f t="shared" si="0"/>
        <v>3237.5</v>
      </c>
    </row>
    <row r="29" spans="1:76">
      <c r="A29" s="128" t="s">
        <v>400</v>
      </c>
      <c r="B29" s="35"/>
      <c r="C29" s="35"/>
      <c r="D29" s="35"/>
      <c r="E29" s="35"/>
      <c r="F29" s="35"/>
      <c r="G29" s="35"/>
      <c r="H29" s="35"/>
      <c r="I29" s="35"/>
      <c r="J29" s="35"/>
      <c r="K29" s="35"/>
      <c r="L29" s="35"/>
      <c r="M29" s="35">
        <v>319.39999999999998</v>
      </c>
      <c r="N29" s="35"/>
      <c r="O29" s="35"/>
      <c r="P29" s="35"/>
      <c r="Q29" s="35"/>
      <c r="R29" s="35"/>
      <c r="S29" s="35"/>
      <c r="T29" s="35"/>
      <c r="U29" s="35"/>
      <c r="V29" s="35"/>
      <c r="W29" s="35"/>
      <c r="X29" s="35"/>
      <c r="Y29" s="35"/>
      <c r="Z29" s="35"/>
      <c r="AA29" s="35"/>
      <c r="AB29" s="35"/>
      <c r="AC29" s="35">
        <v>5440.4</v>
      </c>
      <c r="AD29" s="35">
        <v>11923.6</v>
      </c>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222">
        <f t="shared" si="0"/>
        <v>17683.400000000001</v>
      </c>
    </row>
    <row r="30" spans="1:76" s="129" customFormat="1">
      <c r="A30" s="128" t="s">
        <v>401</v>
      </c>
      <c r="B30" s="35"/>
      <c r="C30" s="35"/>
      <c r="D30" s="35"/>
      <c r="E30" s="35"/>
      <c r="F30" s="35"/>
      <c r="G30" s="35"/>
      <c r="H30" s="35"/>
      <c r="I30" s="35"/>
      <c r="J30" s="35"/>
      <c r="K30" s="35"/>
      <c r="L30" s="35"/>
      <c r="M30" s="35"/>
      <c r="N30" s="35"/>
      <c r="O30" s="35"/>
      <c r="P30" s="35"/>
      <c r="Q30" s="35">
        <f>2634.6+174.9</f>
        <v>2809.5</v>
      </c>
      <c r="R30" s="35"/>
      <c r="S30" s="35"/>
      <c r="T30" s="35"/>
      <c r="U30" s="35"/>
      <c r="V30" s="35"/>
      <c r="W30" s="35"/>
      <c r="X30" s="35"/>
      <c r="Y30" s="35">
        <v>9459.4</v>
      </c>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222">
        <f t="shared" si="0"/>
        <v>12268.9</v>
      </c>
    </row>
    <row r="31" spans="1:76">
      <c r="A31" s="128" t="s">
        <v>402</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f>3132.4+50.2</f>
        <v>3182.6</v>
      </c>
      <c r="AD31" s="35">
        <v>6880.9</v>
      </c>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222">
        <f t="shared" si="0"/>
        <v>10063.5</v>
      </c>
    </row>
    <row r="32" spans="1:76">
      <c r="A32" s="128" t="s">
        <v>403</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f>200+300+2497.5</f>
        <v>2997.5</v>
      </c>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222">
        <f t="shared" si="0"/>
        <v>2997.5</v>
      </c>
    </row>
    <row r="33" spans="1:77">
      <c r="A33" s="128" t="s">
        <v>385</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222">
        <f t="shared" si="0"/>
        <v>0</v>
      </c>
    </row>
    <row r="34" spans="1:77">
      <c r="A34" s="128" t="s">
        <v>393</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v>2.8</v>
      </c>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222">
        <f t="shared" si="0"/>
        <v>2.8</v>
      </c>
    </row>
    <row r="35" spans="1:77">
      <c r="A35" s="128" t="s">
        <v>378</v>
      </c>
      <c r="B35" s="35"/>
      <c r="C35" s="35"/>
      <c r="D35" s="35"/>
      <c r="E35" s="35"/>
      <c r="F35" s="35"/>
      <c r="G35" s="35"/>
      <c r="H35" s="35"/>
      <c r="I35" s="35"/>
      <c r="J35" s="35"/>
      <c r="K35" s="35"/>
      <c r="L35" s="35"/>
      <c r="M35" s="35"/>
      <c r="N35" s="35"/>
      <c r="O35" s="35"/>
      <c r="P35" s="35"/>
      <c r="Q35" s="35"/>
      <c r="R35" s="35"/>
      <c r="S35" s="35"/>
      <c r="T35" s="35"/>
      <c r="U35" s="35"/>
      <c r="V35" s="35">
        <v>4768.5</v>
      </c>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222">
        <f t="shared" si="0"/>
        <v>4768.5</v>
      </c>
    </row>
    <row r="36" spans="1:77">
      <c r="A36" s="128" t="s">
        <v>404</v>
      </c>
      <c r="B36" s="35"/>
      <c r="C36" s="35"/>
      <c r="D36" s="35"/>
      <c r="E36" s="35"/>
      <c r="F36" s="35"/>
      <c r="G36" s="35"/>
      <c r="H36" s="35"/>
      <c r="I36" s="35"/>
      <c r="J36" s="35"/>
      <c r="K36" s="35"/>
      <c r="L36" s="35"/>
      <c r="M36" s="35"/>
      <c r="N36" s="35"/>
      <c r="O36" s="35"/>
      <c r="P36" s="35"/>
      <c r="Q36" s="35"/>
      <c r="R36" s="35"/>
      <c r="S36" s="35"/>
      <c r="T36" s="35"/>
      <c r="U36" s="35"/>
      <c r="V36" s="35">
        <f>3299+746.5+359.9</f>
        <v>4405.3999999999996</v>
      </c>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222">
        <f t="shared" si="0"/>
        <v>4405.3999999999996</v>
      </c>
    </row>
    <row r="37" spans="1:77" ht="12.75" customHeight="1">
      <c r="A37" s="128" t="s">
        <v>47</v>
      </c>
      <c r="B37" s="35"/>
      <c r="C37" s="35"/>
      <c r="D37" s="35"/>
      <c r="E37" s="35"/>
      <c r="F37" s="35"/>
      <c r="G37" s="35"/>
      <c r="H37" s="35"/>
      <c r="I37" s="35"/>
      <c r="J37" s="35"/>
      <c r="K37" s="35"/>
      <c r="L37" s="35"/>
      <c r="M37" s="35"/>
      <c r="N37" s="35"/>
      <c r="O37" s="35"/>
      <c r="P37" s="35"/>
      <c r="Q37" s="35"/>
      <c r="R37" s="35"/>
      <c r="S37" s="35"/>
      <c r="T37" s="35"/>
      <c r="U37" s="35"/>
      <c r="V37" s="35">
        <v>13.2</v>
      </c>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222">
        <f t="shared" si="0"/>
        <v>13.2</v>
      </c>
    </row>
    <row r="38" spans="1:77">
      <c r="A38" s="128" t="s">
        <v>405</v>
      </c>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v>0</v>
      </c>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222">
        <f t="shared" si="0"/>
        <v>0</v>
      </c>
    </row>
    <row r="39" spans="1:77">
      <c r="A39" s="128" t="s">
        <v>50</v>
      </c>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v>61007.3</v>
      </c>
      <c r="BD39" s="35"/>
      <c r="BE39" s="35"/>
      <c r="BF39" s="35"/>
      <c r="BG39" s="35"/>
      <c r="BH39" s="35"/>
      <c r="BI39" s="35"/>
      <c r="BJ39" s="35"/>
      <c r="BK39" s="35"/>
      <c r="BL39" s="35"/>
      <c r="BM39" s="35"/>
      <c r="BN39" s="35"/>
      <c r="BO39" s="35"/>
      <c r="BP39" s="35"/>
      <c r="BQ39" s="35"/>
      <c r="BR39" s="35"/>
      <c r="BS39" s="35"/>
      <c r="BT39" s="35"/>
      <c r="BU39" s="35"/>
      <c r="BV39" s="35"/>
      <c r="BW39" s="35"/>
      <c r="BX39" s="222">
        <f t="shared" si="0"/>
        <v>61007.3</v>
      </c>
    </row>
    <row r="40" spans="1:77">
      <c r="A40" s="128" t="s">
        <v>51</v>
      </c>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v>61511.5</v>
      </c>
      <c r="BW40" s="35"/>
      <c r="BX40" s="222">
        <f t="shared" si="0"/>
        <v>61511.5</v>
      </c>
    </row>
    <row r="41" spans="1:77" s="129" customFormat="1">
      <c r="A41" s="128" t="s">
        <v>406</v>
      </c>
      <c r="B41" s="35">
        <f>SUM(B3:B40)</f>
        <v>3153.1</v>
      </c>
      <c r="C41" s="35">
        <f t="shared" ref="C41:BO41" si="1">SUM(C3:C40)</f>
        <v>0</v>
      </c>
      <c r="D41" s="35">
        <f t="shared" si="1"/>
        <v>6545.3</v>
      </c>
      <c r="E41" s="35">
        <f t="shared" si="1"/>
        <v>3216.2</v>
      </c>
      <c r="F41" s="35">
        <f t="shared" si="1"/>
        <v>3356.2</v>
      </c>
      <c r="G41" s="35">
        <f t="shared" si="1"/>
        <v>308.10000000000002</v>
      </c>
      <c r="H41" s="35">
        <f t="shared" si="1"/>
        <v>107566.5</v>
      </c>
      <c r="I41" s="35">
        <f t="shared" si="1"/>
        <v>24205.145</v>
      </c>
      <c r="J41" s="35">
        <f t="shared" si="1"/>
        <v>39500.254999999997</v>
      </c>
      <c r="K41" s="35">
        <f t="shared" si="1"/>
        <v>47809.9</v>
      </c>
      <c r="L41" s="35">
        <f t="shared" si="1"/>
        <v>2937.5</v>
      </c>
      <c r="M41" s="35">
        <f t="shared" si="1"/>
        <v>826</v>
      </c>
      <c r="N41" s="35">
        <f t="shared" si="1"/>
        <v>3092.2</v>
      </c>
      <c r="O41" s="35">
        <f t="shared" si="1"/>
        <v>0</v>
      </c>
      <c r="P41" s="35">
        <f t="shared" si="1"/>
        <v>2450.1</v>
      </c>
      <c r="Q41" s="35">
        <f t="shared" si="1"/>
        <v>2809.5</v>
      </c>
      <c r="R41" s="35">
        <f t="shared" si="1"/>
        <v>0</v>
      </c>
      <c r="S41" s="35">
        <f t="shared" si="1"/>
        <v>1000</v>
      </c>
      <c r="T41" s="35">
        <f t="shared" si="1"/>
        <v>355</v>
      </c>
      <c r="U41" s="35">
        <f t="shared" si="1"/>
        <v>550</v>
      </c>
      <c r="V41" s="35">
        <f t="shared" si="1"/>
        <v>9187.1</v>
      </c>
      <c r="W41" s="35">
        <f t="shared" si="1"/>
        <v>0</v>
      </c>
      <c r="X41" s="35">
        <f t="shared" si="1"/>
        <v>300</v>
      </c>
      <c r="Y41" s="35">
        <f t="shared" si="1"/>
        <v>9459.4</v>
      </c>
      <c r="Z41" s="35">
        <f t="shared" si="1"/>
        <v>0</v>
      </c>
      <c r="AA41" s="35">
        <f t="shared" si="1"/>
        <v>0</v>
      </c>
      <c r="AB41" s="35">
        <f t="shared" si="1"/>
        <v>0</v>
      </c>
      <c r="AC41" s="35">
        <f t="shared" si="1"/>
        <v>38773.179999999993</v>
      </c>
      <c r="AD41" s="35">
        <f t="shared" si="1"/>
        <v>64846.308999999994</v>
      </c>
      <c r="AE41" s="35">
        <f t="shared" si="1"/>
        <v>0</v>
      </c>
      <c r="AF41" s="35">
        <f t="shared" si="1"/>
        <v>910</v>
      </c>
      <c r="AG41" s="35">
        <f t="shared" si="1"/>
        <v>11695.6</v>
      </c>
      <c r="AH41" s="35">
        <f t="shared" si="1"/>
        <v>0</v>
      </c>
      <c r="AI41" s="35">
        <f t="shared" si="1"/>
        <v>0</v>
      </c>
      <c r="AJ41" s="35">
        <f t="shared" si="1"/>
        <v>1500</v>
      </c>
      <c r="AK41" s="35">
        <f t="shared" si="1"/>
        <v>245.7</v>
      </c>
      <c r="AL41" s="35">
        <f t="shared" si="1"/>
        <v>3000.3</v>
      </c>
      <c r="AM41" s="35">
        <f t="shared" si="1"/>
        <v>1954.5</v>
      </c>
      <c r="AN41" s="35">
        <f t="shared" si="1"/>
        <v>142.03399999999999</v>
      </c>
      <c r="AO41" s="35">
        <f t="shared" si="1"/>
        <v>189.38399999999999</v>
      </c>
      <c r="AP41" s="35">
        <f t="shared" si="1"/>
        <v>0</v>
      </c>
      <c r="AQ41" s="35">
        <f t="shared" si="1"/>
        <v>0</v>
      </c>
      <c r="AR41" s="35">
        <f t="shared" si="1"/>
        <v>0</v>
      </c>
      <c r="AS41" s="35">
        <f t="shared" si="1"/>
        <v>0</v>
      </c>
      <c r="AT41" s="35">
        <f t="shared" si="1"/>
        <v>0</v>
      </c>
      <c r="AU41" s="35">
        <f t="shared" si="1"/>
        <v>0</v>
      </c>
      <c r="AV41" s="35">
        <f t="shared" si="1"/>
        <v>0</v>
      </c>
      <c r="AW41" s="35">
        <f t="shared" si="1"/>
        <v>0</v>
      </c>
      <c r="AX41" s="35">
        <f t="shared" si="1"/>
        <v>0</v>
      </c>
      <c r="AY41" s="35">
        <f t="shared" si="1"/>
        <v>0</v>
      </c>
      <c r="AZ41" s="35">
        <f t="shared" si="1"/>
        <v>0</v>
      </c>
      <c r="BA41" s="35">
        <f t="shared" si="1"/>
        <v>0</v>
      </c>
      <c r="BB41" s="35">
        <f t="shared" si="1"/>
        <v>0</v>
      </c>
      <c r="BC41" s="35">
        <f t="shared" si="1"/>
        <v>61007.3</v>
      </c>
      <c r="BD41" s="35">
        <f t="shared" si="1"/>
        <v>0</v>
      </c>
      <c r="BE41" s="35">
        <f t="shared" si="1"/>
        <v>0</v>
      </c>
      <c r="BF41" s="35">
        <f t="shared" si="1"/>
        <v>0</v>
      </c>
      <c r="BG41" s="35">
        <f t="shared" si="1"/>
        <v>0</v>
      </c>
      <c r="BH41" s="35">
        <f t="shared" si="1"/>
        <v>0</v>
      </c>
      <c r="BI41" s="35">
        <f t="shared" si="1"/>
        <v>0</v>
      </c>
      <c r="BJ41" s="35">
        <f t="shared" si="1"/>
        <v>0</v>
      </c>
      <c r="BK41" s="35">
        <f t="shared" si="1"/>
        <v>0</v>
      </c>
      <c r="BL41" s="35">
        <f t="shared" si="1"/>
        <v>0</v>
      </c>
      <c r="BM41" s="35">
        <f t="shared" si="1"/>
        <v>0</v>
      </c>
      <c r="BN41" s="35">
        <f t="shared" si="1"/>
        <v>0</v>
      </c>
      <c r="BO41" s="35">
        <f t="shared" si="1"/>
        <v>0</v>
      </c>
      <c r="BP41" s="35">
        <f t="shared" ref="BP41:BX41" si="2">SUM(BP3:BP40)</f>
        <v>0</v>
      </c>
      <c r="BQ41" s="35">
        <f t="shared" si="2"/>
        <v>0</v>
      </c>
      <c r="BR41" s="35">
        <f t="shared" si="2"/>
        <v>0</v>
      </c>
      <c r="BS41" s="35">
        <f t="shared" si="2"/>
        <v>0</v>
      </c>
      <c r="BT41" s="35">
        <f t="shared" si="2"/>
        <v>0</v>
      </c>
      <c r="BU41" s="35">
        <f t="shared" si="2"/>
        <v>0</v>
      </c>
      <c r="BV41" s="35">
        <f t="shared" si="2"/>
        <v>61511.5</v>
      </c>
      <c r="BW41" s="35">
        <f t="shared" si="2"/>
        <v>0</v>
      </c>
      <c r="BX41" s="35">
        <f t="shared" si="2"/>
        <v>514403.30700000003</v>
      </c>
      <c r="BY41" s="133">
        <f>SUM(B41:BW41)</f>
        <v>514403.30699999997</v>
      </c>
    </row>
    <row r="42" spans="1:77">
      <c r="X42" s="132"/>
      <c r="Y42" s="132">
        <f>SUM(B41:Y41)</f>
        <v>268627.5</v>
      </c>
      <c r="AA42" s="133"/>
      <c r="AB42" s="133">
        <f>Z41+AA41+AB41</f>
        <v>0</v>
      </c>
      <c r="AC42" s="133"/>
      <c r="AD42" s="133"/>
      <c r="AE42" s="133"/>
      <c r="AF42" s="133"/>
      <c r="AG42" s="133"/>
      <c r="AH42" s="133"/>
      <c r="AI42" s="133"/>
      <c r="AJ42" s="134">
        <f>AC41+AD41+AE41+AF41+AG41+AH41+AI41+AJ41</f>
        <v>117725.08899999999</v>
      </c>
      <c r="AK42" s="133">
        <f>AK41</f>
        <v>245.7</v>
      </c>
      <c r="AL42" s="134"/>
      <c r="AM42" s="134"/>
      <c r="AN42" s="134"/>
      <c r="AO42" s="133">
        <f>AL41+AM41+AN41+AO41</f>
        <v>5286.2179999999998</v>
      </c>
      <c r="AR42" s="133">
        <f>AP41+AQ41+AR41</f>
        <v>0</v>
      </c>
      <c r="AS42" s="133"/>
      <c r="BB42" s="133">
        <f>AT41+AU41+AV41+AW41+AY41+AZ41+BA41+BB41</f>
        <v>0</v>
      </c>
      <c r="BF42" s="133">
        <f>BC41+BE41+BF41</f>
        <v>61007.3</v>
      </c>
      <c r="BW42" s="134">
        <f>SUM(BG41:BW41)</f>
        <v>61511.5</v>
      </c>
      <c r="BY42" s="133">
        <f>SUM(B42:BW42)</f>
        <v>514403.30699999997</v>
      </c>
    </row>
  </sheetData>
  <pageMargins left="0.31496062992125984" right="0" top="1.1417322834645669" bottom="0.19685039370078741"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dimension ref="A1"/>
  <sheetViews>
    <sheetView workbookViewId="0">
      <selection activeCell="A3" sqref="A3"/>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7</vt:i4>
      </vt:variant>
      <vt:variant>
        <vt:lpstr>Именованные диапазоны</vt:lpstr>
      </vt:variant>
      <vt:variant>
        <vt:i4>5</vt:i4>
      </vt:variant>
    </vt:vector>
  </HeadingPairs>
  <TitlesOfParts>
    <vt:vector size="12" baseType="lpstr">
      <vt:lpstr>frmRRO4</vt:lpstr>
      <vt:lpstr>план 2019</vt:lpstr>
      <vt:lpstr>план 2020</vt:lpstr>
      <vt:lpstr>план 2021(2)</vt:lpstr>
      <vt:lpstr>план 2021(3)</vt:lpstr>
      <vt:lpstr>план 2022</vt:lpstr>
      <vt:lpstr>Лист2</vt:lpstr>
      <vt:lpstr>frmRRO4!Заголовки_для_печати</vt:lpstr>
      <vt:lpstr>'план 2020'!Заголовки_для_печати</vt:lpstr>
      <vt:lpstr>'план 2021(2)'!Заголовки_для_печати</vt:lpstr>
      <vt:lpstr>'план 2021(3)'!Заголовки_для_печати</vt:lpstr>
      <vt:lpstr>'план 2022'!Заголовки_для_печати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2016-03-29T09:23:23Z</dcterms:created>
  <dcterms:modified xsi:type="dcterms:W3CDTF">2020-06-03T08:03:31Z</dcterms:modified>
</cp:coreProperties>
</file>