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25" yWindow="30" windowWidth="16260" windowHeight="10155"/>
  </bookViews>
  <sheets>
    <sheet name="frmRRO4" sheetId="1" r:id="rId1"/>
    <sheet name="план 2019" sheetId="6" r:id="rId2"/>
    <sheet name="план 2020" sheetId="7" r:id="rId3"/>
    <sheet name="план 2021(2)" sheetId="9" r:id="rId4"/>
    <sheet name="план 2021(3)" sheetId="11" r:id="rId5"/>
    <sheet name="план 2022" sheetId="10" r:id="rId6"/>
    <sheet name="Лист2" sheetId="3" r:id="rId7"/>
  </sheets>
  <definedNames>
    <definedName name="_xlnm.Print_Titles" localSheetId="0">frmRRO4!$2:$5</definedName>
    <definedName name="_xlnm.Print_Titles" localSheetId="2">'план 2020'!$A:$A</definedName>
    <definedName name="_xlnm.Print_Titles" localSheetId="3">'план 2021(2)'!$A:$A</definedName>
    <definedName name="_xlnm.Print_Titles" localSheetId="4">'план 2021(3)'!$A:$A</definedName>
    <definedName name="_xlnm.Print_Titles" localSheetId="5">'план 2022'!$A:$A</definedName>
  </definedNames>
  <calcPr calcId="125725"/>
  <fileRecoveryPr autoRecover="0"/>
</workbook>
</file>

<file path=xl/calcChain.xml><?xml version="1.0" encoding="utf-8"?>
<calcChain xmlns="http://schemas.openxmlformats.org/spreadsheetml/2006/main">
  <c r="P215" i="1"/>
  <c r="Q447"/>
  <c r="R447"/>
  <c r="P504" l="1"/>
  <c r="N447"/>
  <c r="O447"/>
  <c r="P447"/>
  <c r="Q393"/>
  <c r="R393"/>
  <c r="N393"/>
  <c r="O393"/>
  <c r="O388"/>
  <c r="O350" s="1"/>
  <c r="N388"/>
  <c r="N350" s="1"/>
  <c r="P388"/>
  <c r="P350" s="1"/>
  <c r="N351"/>
  <c r="O351"/>
  <c r="Q351"/>
  <c r="R351"/>
  <c r="O380"/>
  <c r="N380"/>
  <c r="O378"/>
  <c r="N378"/>
  <c r="P378"/>
  <c r="J26" i="7"/>
  <c r="I26"/>
  <c r="I42" s="1"/>
  <c r="CF4"/>
  <c r="CF5"/>
  <c r="CF6"/>
  <c r="CF7"/>
  <c r="CF8"/>
  <c r="CF9"/>
  <c r="CF10"/>
  <c r="CF11"/>
  <c r="CF12"/>
  <c r="CF13"/>
  <c r="CF14"/>
  <c r="CF15"/>
  <c r="CF16"/>
  <c r="CF17"/>
  <c r="CF18"/>
  <c r="CF19"/>
  <c r="CF20"/>
  <c r="CF21"/>
  <c r="CF22"/>
  <c r="CF23"/>
  <c r="CF24"/>
  <c r="CF25"/>
  <c r="CF26"/>
  <c r="CF27"/>
  <c r="CF28"/>
  <c r="CF29"/>
  <c r="CF30"/>
  <c r="CF31"/>
  <c r="CF32"/>
  <c r="CF33"/>
  <c r="CF34"/>
  <c r="CF35"/>
  <c r="CF36"/>
  <c r="CF37"/>
  <c r="CF38"/>
  <c r="CF39"/>
  <c r="CF40"/>
  <c r="CF41"/>
  <c r="B42"/>
  <c r="C42"/>
  <c r="D42"/>
  <c r="E42"/>
  <c r="F42"/>
  <c r="G42"/>
  <c r="H42"/>
  <c r="J42"/>
  <c r="K42"/>
  <c r="L42"/>
  <c r="M42"/>
  <c r="N42"/>
  <c r="O42"/>
  <c r="P42"/>
  <c r="Q42"/>
  <c r="R42"/>
  <c r="S42"/>
  <c r="T42"/>
  <c r="U42"/>
  <c r="V42"/>
  <c r="W42"/>
  <c r="X42"/>
  <c r="Y42"/>
  <c r="Z42"/>
  <c r="AA42"/>
  <c r="AB42"/>
  <c r="AC42"/>
  <c r="AD42"/>
  <c r="AE42"/>
  <c r="AF42"/>
  <c r="AG42"/>
  <c r="AH42"/>
  <c r="AI42"/>
  <c r="AJ42"/>
  <c r="AK42"/>
  <c r="AL42"/>
  <c r="AM42"/>
  <c r="AN42"/>
  <c r="AO42"/>
  <c r="AP42"/>
  <c r="AF32"/>
  <c r="Z31"/>
  <c r="AD31"/>
  <c r="R31"/>
  <c r="P31"/>
  <c r="L29"/>
  <c r="K27"/>
  <c r="H25"/>
  <c r="E17"/>
  <c r="Q15"/>
  <c r="AO10"/>
  <c r="P10"/>
  <c r="AM10"/>
  <c r="AJ10"/>
  <c r="AG7"/>
  <c r="AF7"/>
  <c r="AF5"/>
  <c r="AF4"/>
  <c r="N328" i="1"/>
  <c r="O328"/>
  <c r="Q328"/>
  <c r="R328"/>
  <c r="P328"/>
  <c r="R299"/>
  <c r="Q299"/>
  <c r="P299"/>
  <c r="O299"/>
  <c r="N299"/>
  <c r="P284" l="1"/>
  <c r="P267"/>
  <c r="P259"/>
  <c r="P258"/>
  <c r="P249"/>
  <c r="P232"/>
  <c r="R200"/>
  <c r="Q200"/>
  <c r="Q211"/>
  <c r="P211"/>
  <c r="P158"/>
  <c r="O152"/>
  <c r="P152"/>
  <c r="Q152"/>
  <c r="R152"/>
  <c r="N152"/>
  <c r="Q133"/>
  <c r="R133"/>
  <c r="P116"/>
  <c r="P79"/>
  <c r="Q90"/>
  <c r="Q89"/>
  <c r="Q102"/>
  <c r="P50"/>
  <c r="Q62"/>
  <c r="Q61"/>
  <c r="Q67"/>
  <c r="Q66"/>
  <c r="P36"/>
  <c r="P34" s="1"/>
  <c r="Q34"/>
  <c r="R34"/>
  <c r="P18" l="1"/>
  <c r="P10"/>
  <c r="P134"/>
  <c r="P133" s="1"/>
  <c r="P405"/>
  <c r="P62"/>
  <c r="P61"/>
  <c r="P90"/>
  <c r="P89"/>
  <c r="P87"/>
  <c r="P88"/>
  <c r="P60"/>
  <c r="P59"/>
  <c r="R378" l="1"/>
  <c r="CJ42" i="11"/>
  <c r="CH4"/>
  <c r="CH5"/>
  <c r="CH6"/>
  <c r="CH7"/>
  <c r="CH8"/>
  <c r="CH9"/>
  <c r="CH10"/>
  <c r="CH11"/>
  <c r="CH12"/>
  <c r="CH13"/>
  <c r="CH14"/>
  <c r="CH15"/>
  <c r="CH16"/>
  <c r="CH17"/>
  <c r="CH18"/>
  <c r="CH19"/>
  <c r="CH20"/>
  <c r="CH21"/>
  <c r="CH22"/>
  <c r="CH23"/>
  <c r="CH24"/>
  <c r="CH25"/>
  <c r="CH26"/>
  <c r="CH27"/>
  <c r="CH28"/>
  <c r="CH29"/>
  <c r="CH30"/>
  <c r="CH31"/>
  <c r="CH32"/>
  <c r="CH33"/>
  <c r="CH34"/>
  <c r="CH35"/>
  <c r="CH36"/>
  <c r="CH37"/>
  <c r="CH38"/>
  <c r="CH39"/>
  <c r="CH40"/>
  <c r="CH41"/>
  <c r="CH3"/>
  <c r="CI4"/>
  <c r="CI5"/>
  <c r="CI6"/>
  <c r="CI7"/>
  <c r="CI8"/>
  <c r="CI9"/>
  <c r="CI10"/>
  <c r="CI11"/>
  <c r="CI12"/>
  <c r="CI13"/>
  <c r="CI14"/>
  <c r="CI15"/>
  <c r="CI16"/>
  <c r="CI17"/>
  <c r="CI18"/>
  <c r="CI19"/>
  <c r="CI20"/>
  <c r="CI21"/>
  <c r="CI22"/>
  <c r="CI23"/>
  <c r="CI24"/>
  <c r="CI25"/>
  <c r="CI26"/>
  <c r="CI27"/>
  <c r="CI28"/>
  <c r="CI29"/>
  <c r="CI30"/>
  <c r="CI31"/>
  <c r="CI32"/>
  <c r="CI33"/>
  <c r="CI34"/>
  <c r="CI35"/>
  <c r="CI36"/>
  <c r="CI37"/>
  <c r="CI38"/>
  <c r="CI39"/>
  <c r="CI40"/>
  <c r="CI41"/>
  <c r="CI3"/>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B35"/>
  <c r="BG34"/>
  <c r="BI25"/>
  <c r="BJ25"/>
  <c r="BD15"/>
  <c r="BC15"/>
  <c r="BB15"/>
  <c r="J26"/>
  <c r="L26"/>
  <c r="BY42"/>
  <c r="CE42"/>
  <c r="BQ22"/>
  <c r="AC37"/>
  <c r="CG42"/>
  <c r="CF42"/>
  <c r="CD42"/>
  <c r="CC42"/>
  <c r="CB42"/>
  <c r="CA42"/>
  <c r="BZ42"/>
  <c r="AR43"/>
  <c r="AS33"/>
  <c r="AI32"/>
  <c r="M27"/>
  <c r="K26"/>
  <c r="I26"/>
  <c r="E17"/>
  <c r="G13"/>
  <c r="AW10"/>
  <c r="AV10"/>
  <c r="AM10"/>
  <c r="AJ7"/>
  <c r="AI7"/>
  <c r="AI5"/>
  <c r="AI4"/>
  <c r="AI3"/>
  <c r="CI42" l="1"/>
  <c r="BO43"/>
  <c r="AH43"/>
  <c r="AZ43"/>
  <c r="BJ43"/>
  <c r="CG43"/>
  <c r="AQ43"/>
  <c r="AW43"/>
  <c r="AE43"/>
  <c r="CH42" l="1"/>
  <c r="BZ3" i="9" l="1"/>
  <c r="BZ4"/>
  <c r="BZ5"/>
  <c r="BZ6"/>
  <c r="BZ7"/>
  <c r="BZ8"/>
  <c r="BZ9"/>
  <c r="BZ10"/>
  <c r="BZ11"/>
  <c r="BZ12"/>
  <c r="BZ13"/>
  <c r="BZ14"/>
  <c r="BZ15"/>
  <c r="BZ16"/>
  <c r="BZ17"/>
  <c r="BZ18"/>
  <c r="BZ19"/>
  <c r="BZ20"/>
  <c r="BZ21"/>
  <c r="BZ22"/>
  <c r="BZ23"/>
  <c r="BZ24"/>
  <c r="BZ25"/>
  <c r="BZ26"/>
  <c r="BZ27"/>
  <c r="BZ28"/>
  <c r="BZ29"/>
  <c r="BZ30"/>
  <c r="BZ31"/>
  <c r="BZ32"/>
  <c r="BZ33"/>
  <c r="BZ34"/>
  <c r="BZ35"/>
  <c r="BZ36"/>
  <c r="BZ37"/>
  <c r="BZ38"/>
  <c r="BZ39"/>
  <c r="BZ40"/>
  <c r="AU35"/>
  <c r="AZ34"/>
  <c r="BC26"/>
  <c r="BB25"/>
  <c r="AW15"/>
  <c r="AV15"/>
  <c r="AU15"/>
  <c r="Q403" i="1"/>
  <c r="J26" i="9"/>
  <c r="I26"/>
  <c r="BW42"/>
  <c r="AI42"/>
  <c r="AM33"/>
  <c r="BI22"/>
  <c r="W37"/>
  <c r="W38"/>
  <c r="Q31"/>
  <c r="K27"/>
  <c r="L29"/>
  <c r="Q504" i="1" l="1"/>
  <c r="R504"/>
  <c r="Q498"/>
  <c r="R498"/>
  <c r="Q480"/>
  <c r="R480"/>
  <c r="Q469"/>
  <c r="R469"/>
  <c r="Q458"/>
  <c r="R458"/>
  <c r="Q455"/>
  <c r="R455"/>
  <c r="Q415"/>
  <c r="R415"/>
  <c r="R403"/>
  <c r="Q399"/>
  <c r="R399"/>
  <c r="Q343"/>
  <c r="R343"/>
  <c r="Q344"/>
  <c r="R344"/>
  <c r="Q346"/>
  <c r="R346"/>
  <c r="Q347"/>
  <c r="R347"/>
  <c r="Q348"/>
  <c r="R348"/>
  <c r="Q349"/>
  <c r="R349"/>
  <c r="Q335"/>
  <c r="R335"/>
  <c r="Q336"/>
  <c r="R336"/>
  <c r="Q337"/>
  <c r="R337"/>
  <c r="Q312"/>
  <c r="Q311" s="1"/>
  <c r="R312"/>
  <c r="R311" s="1"/>
  <c r="Q286"/>
  <c r="R286"/>
  <c r="Q247"/>
  <c r="R247"/>
  <c r="Q228"/>
  <c r="R228"/>
  <c r="Q210"/>
  <c r="R210"/>
  <c r="Q212"/>
  <c r="R212"/>
  <c r="Q201"/>
  <c r="R201"/>
  <c r="Q189"/>
  <c r="R189"/>
  <c r="Q183"/>
  <c r="R183"/>
  <c r="Q181"/>
  <c r="R181"/>
  <c r="Q178"/>
  <c r="R178"/>
  <c r="Q157"/>
  <c r="R157"/>
  <c r="Q145"/>
  <c r="R145"/>
  <c r="Q126"/>
  <c r="R126"/>
  <c r="Q109"/>
  <c r="R109"/>
  <c r="Q49"/>
  <c r="R49"/>
  <c r="Q35"/>
  <c r="R35"/>
  <c r="AW42" i="7"/>
  <c r="P349" i="1"/>
  <c r="CC42" i="7"/>
  <c r="CD42"/>
  <c r="BX42"/>
  <c r="N336" i="1"/>
  <c r="O336"/>
  <c r="P336"/>
  <c r="O212"/>
  <c r="N498"/>
  <c r="O498"/>
  <c r="P498"/>
  <c r="N415"/>
  <c r="O415"/>
  <c r="P415"/>
  <c r="P469"/>
  <c r="N504"/>
  <c r="Q489"/>
  <c r="Q486" s="1"/>
  <c r="R489"/>
  <c r="R486" s="1"/>
  <c r="N489"/>
  <c r="O489"/>
  <c r="P489"/>
  <c r="P393"/>
  <c r="R388"/>
  <c r="R350" s="1"/>
  <c r="Q388"/>
  <c r="Q350" s="1"/>
  <c r="Q378"/>
  <c r="R375"/>
  <c r="R345" s="1"/>
  <c r="Q375"/>
  <c r="P375"/>
  <c r="P361"/>
  <c r="P320"/>
  <c r="P276"/>
  <c r="P261"/>
  <c r="P257"/>
  <c r="P248"/>
  <c r="P147"/>
  <c r="P145" s="1"/>
  <c r="V36" i="10"/>
  <c r="Q30"/>
  <c r="K27"/>
  <c r="I26"/>
  <c r="BW41"/>
  <c r="BV41"/>
  <c r="BU41"/>
  <c r="BT41"/>
  <c r="BS41"/>
  <c r="BR41"/>
  <c r="BQ41"/>
  <c r="BP41"/>
  <c r="BO41"/>
  <c r="BN41"/>
  <c r="BM41"/>
  <c r="BL41"/>
  <c r="BK41"/>
  <c r="BJ41"/>
  <c r="BI41"/>
  <c r="BH41"/>
  <c r="BG41"/>
  <c r="BW42" s="1"/>
  <c r="BF41"/>
  <c r="BE41"/>
  <c r="BD41"/>
  <c r="BC41"/>
  <c r="BF42" s="1"/>
  <c r="BB41"/>
  <c r="BA41"/>
  <c r="AZ41"/>
  <c r="AY41"/>
  <c r="AX41"/>
  <c r="AW41"/>
  <c r="AV41"/>
  <c r="AU41"/>
  <c r="AT41"/>
  <c r="BB42" s="1"/>
  <c r="AS41"/>
  <c r="AR41"/>
  <c r="AQ41"/>
  <c r="AP41"/>
  <c r="AR42" s="1"/>
  <c r="AM41"/>
  <c r="AL41"/>
  <c r="AK41"/>
  <c r="AK42" s="1"/>
  <c r="AJ41"/>
  <c r="AI41"/>
  <c r="AH41"/>
  <c r="AF41"/>
  <c r="AE41"/>
  <c r="AD41"/>
  <c r="AB41"/>
  <c r="AA41"/>
  <c r="Z41"/>
  <c r="AB42" s="1"/>
  <c r="Y41"/>
  <c r="X41"/>
  <c r="W41"/>
  <c r="V41"/>
  <c r="U41"/>
  <c r="T41"/>
  <c r="S41"/>
  <c r="R41"/>
  <c r="Q41"/>
  <c r="P41"/>
  <c r="O41"/>
  <c r="N41"/>
  <c r="M41"/>
  <c r="L41"/>
  <c r="K41"/>
  <c r="H41"/>
  <c r="F41"/>
  <c r="E41"/>
  <c r="D41"/>
  <c r="C41"/>
  <c r="B41"/>
  <c r="BX40"/>
  <c r="BX39"/>
  <c r="BX38"/>
  <c r="BX37"/>
  <c r="BX36"/>
  <c r="BX35"/>
  <c r="BX34"/>
  <c r="BX33"/>
  <c r="BX32"/>
  <c r="AL32"/>
  <c r="BX31"/>
  <c r="AC31"/>
  <c r="BX30"/>
  <c r="BX29"/>
  <c r="BX28"/>
  <c r="BX27"/>
  <c r="J26"/>
  <c r="J41" s="1"/>
  <c r="BX26"/>
  <c r="BX25"/>
  <c r="BX24"/>
  <c r="BX23"/>
  <c r="BX22"/>
  <c r="BX21"/>
  <c r="BX20"/>
  <c r="BX19"/>
  <c r="BX18"/>
  <c r="BX17"/>
  <c r="E17"/>
  <c r="BX16"/>
  <c r="BX15"/>
  <c r="BX14"/>
  <c r="G13"/>
  <c r="BX13" s="1"/>
  <c r="BX12"/>
  <c r="BX11"/>
  <c r="AO10"/>
  <c r="AO41" s="1"/>
  <c r="AN10"/>
  <c r="AN41" s="1"/>
  <c r="AG10"/>
  <c r="BX10" s="1"/>
  <c r="BX9"/>
  <c r="BX8"/>
  <c r="BX7"/>
  <c r="AD7"/>
  <c r="AC7"/>
  <c r="BX6"/>
  <c r="BX5"/>
  <c r="AC5"/>
  <c r="AC4"/>
  <c r="BX4" s="1"/>
  <c r="BX3"/>
  <c r="AC3"/>
  <c r="AC41" s="1"/>
  <c r="E17" i="9"/>
  <c r="G13"/>
  <c r="AO10"/>
  <c r="AO42" s="1"/>
  <c r="BY42"/>
  <c r="BX42"/>
  <c r="BV42"/>
  <c r="BU42"/>
  <c r="BT42"/>
  <c r="BS42"/>
  <c r="BR42"/>
  <c r="BQ42"/>
  <c r="BP42"/>
  <c r="BO42"/>
  <c r="BN42"/>
  <c r="BM42"/>
  <c r="BL42"/>
  <c r="BK42"/>
  <c r="BJ42"/>
  <c r="BI42"/>
  <c r="BH42"/>
  <c r="BG42"/>
  <c r="BF42"/>
  <c r="BE42"/>
  <c r="BD42"/>
  <c r="BC42"/>
  <c r="BB42"/>
  <c r="BA42"/>
  <c r="AZ42"/>
  <c r="AY42"/>
  <c r="AX42"/>
  <c r="AW42"/>
  <c r="AV42"/>
  <c r="AU42"/>
  <c r="AT42"/>
  <c r="AS42"/>
  <c r="AR42"/>
  <c r="AQ42"/>
  <c r="AN42"/>
  <c r="AM42"/>
  <c r="AL42"/>
  <c r="AL43" s="1"/>
  <c r="AK42"/>
  <c r="AH42"/>
  <c r="AF42"/>
  <c r="AE42"/>
  <c r="AB42"/>
  <c r="Z42"/>
  <c r="Y42"/>
  <c r="X42"/>
  <c r="W42"/>
  <c r="V42"/>
  <c r="U42"/>
  <c r="T42"/>
  <c r="S42"/>
  <c r="R42"/>
  <c r="Q42"/>
  <c r="O42"/>
  <c r="N42"/>
  <c r="M42"/>
  <c r="L42"/>
  <c r="J42"/>
  <c r="I42"/>
  <c r="F42"/>
  <c r="D42"/>
  <c r="C42"/>
  <c r="B42"/>
  <c r="BZ41"/>
  <c r="AC32"/>
  <c r="AA42"/>
  <c r="K42"/>
  <c r="E42"/>
  <c r="AP10"/>
  <c r="AP42" s="1"/>
  <c r="AJ42"/>
  <c r="AG10"/>
  <c r="AG42" s="1"/>
  <c r="P42"/>
  <c r="AD7"/>
  <c r="AD42" s="1"/>
  <c r="AC7"/>
  <c r="AC5"/>
  <c r="AC4"/>
  <c r="AC3"/>
  <c r="AC42" s="1"/>
  <c r="Q208" i="1" l="1"/>
  <c r="Q345"/>
  <c r="P345"/>
  <c r="Q333"/>
  <c r="R333"/>
  <c r="Q341"/>
  <c r="R198"/>
  <c r="Q198"/>
  <c r="R341"/>
  <c r="AS43" i="9"/>
  <c r="BG43"/>
  <c r="BC43"/>
  <c r="BY43"/>
  <c r="BX41" i="10"/>
  <c r="BY41"/>
  <c r="AO42"/>
  <c r="G41"/>
  <c r="AG41"/>
  <c r="AJ42" s="1"/>
  <c r="I41"/>
  <c r="Y42" s="1"/>
  <c r="AB43" i="9"/>
  <c r="G42"/>
  <c r="AK43"/>
  <c r="AP43"/>
  <c r="BZ42"/>
  <c r="H42"/>
  <c r="O10" i="1"/>
  <c r="EU44" i="6"/>
  <c r="ET44"/>
  <c r="EU43"/>
  <c r="ET43"/>
  <c r="DP42"/>
  <c r="DQ42"/>
  <c r="DR42"/>
  <c r="DS42"/>
  <c r="DT42"/>
  <c r="DU42"/>
  <c r="DV42"/>
  <c r="DW42"/>
  <c r="DX42"/>
  <c r="DY42"/>
  <c r="DZ42"/>
  <c r="EA42"/>
  <c r="EB42"/>
  <c r="EC42"/>
  <c r="ED42"/>
  <c r="EE42"/>
  <c r="EF42"/>
  <c r="EG42"/>
  <c r="EH42"/>
  <c r="EI42"/>
  <c r="EJ42"/>
  <c r="EK42"/>
  <c r="EL42"/>
  <c r="EM42"/>
  <c r="EN42"/>
  <c r="EO42"/>
  <c r="EP42"/>
  <c r="EQ42"/>
  <c r="ER42"/>
  <c r="ES42"/>
  <c r="ET42"/>
  <c r="EU42"/>
  <c r="EU34"/>
  <c r="ET34"/>
  <c r="DE34"/>
  <c r="DD34"/>
  <c r="EV34" s="1"/>
  <c r="DW31"/>
  <c r="DV31"/>
  <c r="EY23"/>
  <c r="EX23"/>
  <c r="EK23"/>
  <c r="EJ23"/>
  <c r="EE23"/>
  <c r="ED23"/>
  <c r="EG23"/>
  <c r="EF23"/>
  <c r="EH20"/>
  <c r="EY15"/>
  <c r="EX15"/>
  <c r="DU15"/>
  <c r="DT15"/>
  <c r="O458" i="1"/>
  <c r="P458"/>
  <c r="N458"/>
  <c r="O469"/>
  <c r="N469"/>
  <c r="O504"/>
  <c r="O529"/>
  <c r="P529"/>
  <c r="Q529"/>
  <c r="R529"/>
  <c r="N529"/>
  <c r="O542"/>
  <c r="P542"/>
  <c r="Q542"/>
  <c r="R542"/>
  <c r="N542"/>
  <c r="O409"/>
  <c r="P409"/>
  <c r="Q409"/>
  <c r="R409"/>
  <c r="N409"/>
  <c r="N399"/>
  <c r="O399"/>
  <c r="O346"/>
  <c r="N346"/>
  <c r="BS43" i="6"/>
  <c r="BR43"/>
  <c r="AU43"/>
  <c r="AT43"/>
  <c r="O17" i="1"/>
  <c r="Q17"/>
  <c r="R17"/>
  <c r="O12"/>
  <c r="P12"/>
  <c r="Q12"/>
  <c r="R12"/>
  <c r="P9"/>
  <c r="Q9"/>
  <c r="R9"/>
  <c r="AQ38" i="6"/>
  <c r="AP38"/>
  <c r="BE32"/>
  <c r="BD32"/>
  <c r="BC32"/>
  <c r="BB32"/>
  <c r="AD31"/>
  <c r="AU31"/>
  <c r="AT31"/>
  <c r="AE31"/>
  <c r="AY31"/>
  <c r="AX31"/>
  <c r="AF42"/>
  <c r="AG42"/>
  <c r="EV3"/>
  <c r="EW3"/>
  <c r="EV4"/>
  <c r="EW4"/>
  <c r="EV5"/>
  <c r="EW5"/>
  <c r="EV6"/>
  <c r="EW6"/>
  <c r="EV7"/>
  <c r="EW7"/>
  <c r="EV8"/>
  <c r="EW8"/>
  <c r="EV9"/>
  <c r="EW9"/>
  <c r="EV10"/>
  <c r="EW10"/>
  <c r="EV11"/>
  <c r="EW11"/>
  <c r="EV12"/>
  <c r="EW12"/>
  <c r="EV13"/>
  <c r="EW13"/>
  <c r="EV14"/>
  <c r="EW14"/>
  <c r="EV15"/>
  <c r="EW15"/>
  <c r="EV16"/>
  <c r="EW16"/>
  <c r="EV17"/>
  <c r="EW17"/>
  <c r="EV18"/>
  <c r="EW18"/>
  <c r="EV19"/>
  <c r="EW19"/>
  <c r="EV20"/>
  <c r="EW20"/>
  <c r="EV21"/>
  <c r="EW21"/>
  <c r="EV22"/>
  <c r="EW22"/>
  <c r="EV23"/>
  <c r="EW23"/>
  <c r="EV24"/>
  <c r="EW24"/>
  <c r="EV25"/>
  <c r="EW25"/>
  <c r="EV26"/>
  <c r="EW26"/>
  <c r="EV27"/>
  <c r="EW27"/>
  <c r="EV28"/>
  <c r="EW28"/>
  <c r="EV29"/>
  <c r="EW29"/>
  <c r="EV30"/>
  <c r="EW30"/>
  <c r="EV32"/>
  <c r="EW32"/>
  <c r="EV33"/>
  <c r="EW33"/>
  <c r="EW34"/>
  <c r="EV35"/>
  <c r="EW35"/>
  <c r="EV36"/>
  <c r="EW36"/>
  <c r="EV37"/>
  <c r="EW37"/>
  <c r="EV38"/>
  <c r="EW38"/>
  <c r="EV39"/>
  <c r="EW39"/>
  <c r="EV40"/>
  <c r="EW40"/>
  <c r="EV41"/>
  <c r="EW41"/>
  <c r="EW31"/>
  <c r="EV31"/>
  <c r="AG31"/>
  <c r="AF31"/>
  <c r="BC30"/>
  <c r="Y30"/>
  <c r="X30"/>
  <c r="BE30"/>
  <c r="BD30"/>
  <c r="BB30"/>
  <c r="V29"/>
  <c r="W29"/>
  <c r="BO42"/>
  <c r="BN42"/>
  <c r="U27"/>
  <c r="T27"/>
  <c r="S26"/>
  <c r="R26"/>
  <c r="Q26"/>
  <c r="P26"/>
  <c r="O25"/>
  <c r="N25"/>
  <c r="BU20"/>
  <c r="BT20"/>
  <c r="AM20"/>
  <c r="AL20"/>
  <c r="C10"/>
  <c r="B10"/>
  <c r="CA10"/>
  <c r="BZ10"/>
  <c r="BQ10"/>
  <c r="BP10"/>
  <c r="AC10"/>
  <c r="AB10"/>
  <c r="BK10"/>
  <c r="BJ10"/>
  <c r="BX10"/>
  <c r="CC10"/>
  <c r="CB10"/>
  <c r="BE7"/>
  <c r="BD7"/>
  <c r="BC7"/>
  <c r="BB7"/>
  <c r="BE5"/>
  <c r="BD5"/>
  <c r="BC5"/>
  <c r="BB5"/>
  <c r="BC4"/>
  <c r="BB4"/>
  <c r="O405" i="1"/>
  <c r="N405"/>
  <c r="P401"/>
  <c r="O375"/>
  <c r="N375"/>
  <c r="O361"/>
  <c r="N361"/>
  <c r="R79"/>
  <c r="R78" s="1"/>
  <c r="Q79"/>
  <c r="Q78" s="1"/>
  <c r="O325"/>
  <c r="N325"/>
  <c r="O320"/>
  <c r="N320"/>
  <c r="O307"/>
  <c r="N307"/>
  <c r="R232"/>
  <c r="R230" s="1"/>
  <c r="Q232"/>
  <c r="Q230" s="1"/>
  <c r="P290"/>
  <c r="O290"/>
  <c r="N290"/>
  <c r="N289"/>
  <c r="R276"/>
  <c r="R274" s="1"/>
  <c r="Q276"/>
  <c r="Q274" s="1"/>
  <c r="O276"/>
  <c r="N276"/>
  <c r="O269"/>
  <c r="N269"/>
  <c r="O268"/>
  <c r="N268"/>
  <c r="R267"/>
  <c r="R263" s="1"/>
  <c r="Q267"/>
  <c r="Q263" s="1"/>
  <c r="O267"/>
  <c r="N267"/>
  <c r="O266"/>
  <c r="N266"/>
  <c r="N264"/>
  <c r="R261"/>
  <c r="Q261"/>
  <c r="O261"/>
  <c r="N261"/>
  <c r="R260"/>
  <c r="Q260"/>
  <c r="O260"/>
  <c r="N260"/>
  <c r="R259"/>
  <c r="Q259"/>
  <c r="O259"/>
  <c r="N259"/>
  <c r="R258"/>
  <c r="R254" s="1"/>
  <c r="Q258"/>
  <c r="Q254" s="1"/>
  <c r="O258"/>
  <c r="N258"/>
  <c r="O257"/>
  <c r="N257"/>
  <c r="O249"/>
  <c r="N249"/>
  <c r="O232"/>
  <c r="N232"/>
  <c r="N212"/>
  <c r="R215"/>
  <c r="O215"/>
  <c r="O211" s="1"/>
  <c r="N215"/>
  <c r="N211" s="1"/>
  <c r="O190"/>
  <c r="N190"/>
  <c r="O158"/>
  <c r="N158"/>
  <c r="O147"/>
  <c r="N147"/>
  <c r="R253" l="1"/>
  <c r="N345"/>
  <c r="Q253"/>
  <c r="O345"/>
  <c r="R211"/>
  <c r="R208" s="1"/>
  <c r="O254"/>
  <c r="P254"/>
  <c r="N254"/>
  <c r="BY42" i="10"/>
  <c r="CA42" i="9"/>
  <c r="Y43"/>
  <c r="CA43" s="1"/>
  <c r="O134" i="1"/>
  <c r="N134"/>
  <c r="O129"/>
  <c r="N129"/>
  <c r="P109"/>
  <c r="O110"/>
  <c r="O109" s="1"/>
  <c r="N110"/>
  <c r="O97"/>
  <c r="N97"/>
  <c r="P78"/>
  <c r="O79"/>
  <c r="N79"/>
  <c r="O78" l="1"/>
  <c r="O70" l="1"/>
  <c r="N70"/>
  <c r="O50"/>
  <c r="N50"/>
  <c r="O35"/>
  <c r="P35"/>
  <c r="N35"/>
  <c r="O36"/>
  <c r="O34" s="1"/>
  <c r="N36"/>
  <c r="N34" s="1"/>
  <c r="R29"/>
  <c r="Q29"/>
  <c r="P28"/>
  <c r="P17"/>
  <c r="N12"/>
  <c r="O9"/>
  <c r="N10"/>
  <c r="O32" l="1"/>
  <c r="P32"/>
  <c r="Q32"/>
  <c r="R32"/>
  <c r="N49"/>
  <c r="O49"/>
  <c r="P230"/>
  <c r="P200"/>
  <c r="P403"/>
  <c r="P157"/>
  <c r="P306"/>
  <c r="P305" s="1"/>
  <c r="P486"/>
  <c r="O480"/>
  <c r="P480"/>
  <c r="N480"/>
  <c r="P183"/>
  <c r="O178"/>
  <c r="P178"/>
  <c r="N178"/>
  <c r="P274"/>
  <c r="CA42" i="7"/>
  <c r="P346" i="1"/>
  <c r="AP43" i="7"/>
  <c r="AQ42"/>
  <c r="AR42"/>
  <c r="AS42"/>
  <c r="AT42"/>
  <c r="AU42"/>
  <c r="AV42"/>
  <c r="AX42"/>
  <c r="AY42"/>
  <c r="AZ42"/>
  <c r="BA42"/>
  <c r="BB42"/>
  <c r="BC42"/>
  <c r="BD42"/>
  <c r="BE42"/>
  <c r="BF42"/>
  <c r="BG42"/>
  <c r="BH42"/>
  <c r="BI42"/>
  <c r="BJ42"/>
  <c r="BK42"/>
  <c r="BL42"/>
  <c r="BM42"/>
  <c r="BN42"/>
  <c r="BO42"/>
  <c r="BP42"/>
  <c r="BQ42"/>
  <c r="BR42"/>
  <c r="BS42"/>
  <c r="BT42"/>
  <c r="BU42"/>
  <c r="BV42"/>
  <c r="BW42"/>
  <c r="BY42"/>
  <c r="BZ42"/>
  <c r="CB42"/>
  <c r="CE42"/>
  <c r="P337" i="1"/>
  <c r="P286"/>
  <c r="Q25"/>
  <c r="R25"/>
  <c r="Q26"/>
  <c r="R26"/>
  <c r="Q27"/>
  <c r="R27"/>
  <c r="Q484"/>
  <c r="R484"/>
  <c r="R408" s="1"/>
  <c r="R407" s="1"/>
  <c r="Q306"/>
  <c r="Q305" s="1"/>
  <c r="R306"/>
  <c r="R305" s="1"/>
  <c r="O133"/>
  <c r="N133"/>
  <c r="CF3" i="7"/>
  <c r="R366" i="1"/>
  <c r="Q366"/>
  <c r="P366"/>
  <c r="R352"/>
  <c r="Q352"/>
  <c r="N78"/>
  <c r="O201"/>
  <c r="P201"/>
  <c r="N201"/>
  <c r="N109"/>
  <c r="P189"/>
  <c r="P181"/>
  <c r="P175"/>
  <c r="Q175"/>
  <c r="R175"/>
  <c r="P126"/>
  <c r="P25"/>
  <c r="P26"/>
  <c r="P27"/>
  <c r="P19"/>
  <c r="Q19"/>
  <c r="R19"/>
  <c r="O486"/>
  <c r="N486"/>
  <c r="O210"/>
  <c r="P210"/>
  <c r="P212"/>
  <c r="N157"/>
  <c r="C42" i="6"/>
  <c r="D42"/>
  <c r="E42"/>
  <c r="F42"/>
  <c r="G42"/>
  <c r="H42"/>
  <c r="I42"/>
  <c r="J42"/>
  <c r="K42"/>
  <c r="L42"/>
  <c r="M42"/>
  <c r="N42"/>
  <c r="O42"/>
  <c r="P42"/>
  <c r="Q42"/>
  <c r="R42"/>
  <c r="S42"/>
  <c r="T42"/>
  <c r="U42"/>
  <c r="V42"/>
  <c r="W42"/>
  <c r="X42"/>
  <c r="Y42"/>
  <c r="Z42"/>
  <c r="AA42"/>
  <c r="AB42"/>
  <c r="AC42"/>
  <c r="AD42"/>
  <c r="AE42"/>
  <c r="AH42"/>
  <c r="AI42"/>
  <c r="AJ42"/>
  <c r="AK42"/>
  <c r="AL42"/>
  <c r="AM42"/>
  <c r="AN42"/>
  <c r="AO42"/>
  <c r="AP42"/>
  <c r="AQ42"/>
  <c r="AR42"/>
  <c r="AS42"/>
  <c r="AT42"/>
  <c r="AU42"/>
  <c r="AV42"/>
  <c r="AW42"/>
  <c r="AX42"/>
  <c r="AY42"/>
  <c r="AZ42"/>
  <c r="BA42"/>
  <c r="BB42"/>
  <c r="BC42"/>
  <c r="BD42"/>
  <c r="BE42"/>
  <c r="BF42"/>
  <c r="BG42"/>
  <c r="BH42"/>
  <c r="BI42"/>
  <c r="BJ42"/>
  <c r="BK42"/>
  <c r="BL42"/>
  <c r="BM42"/>
  <c r="BP42"/>
  <c r="BQ42"/>
  <c r="BR42"/>
  <c r="BS42"/>
  <c r="BT42"/>
  <c r="BT43" s="1"/>
  <c r="BU42"/>
  <c r="BU43" s="1"/>
  <c r="BV42"/>
  <c r="BW42"/>
  <c r="BX42"/>
  <c r="BY42"/>
  <c r="BZ42"/>
  <c r="CA42"/>
  <c r="CB42"/>
  <c r="CC42"/>
  <c r="CD42"/>
  <c r="CE42"/>
  <c r="CF42"/>
  <c r="CG42"/>
  <c r="CH42"/>
  <c r="CI42"/>
  <c r="CJ42"/>
  <c r="CK42"/>
  <c r="CL42"/>
  <c r="CM42"/>
  <c r="CN42"/>
  <c r="CO42"/>
  <c r="CP42"/>
  <c r="CQ42"/>
  <c r="CT42"/>
  <c r="CU42"/>
  <c r="CV42"/>
  <c r="CW42"/>
  <c r="CZ42"/>
  <c r="DA42"/>
  <c r="DB42"/>
  <c r="DC42"/>
  <c r="DD42"/>
  <c r="DH42"/>
  <c r="DI42"/>
  <c r="DJ42"/>
  <c r="DK42"/>
  <c r="DL42"/>
  <c r="DM42"/>
  <c r="DN42"/>
  <c r="DO42"/>
  <c r="B42"/>
  <c r="DE42"/>
  <c r="DF42"/>
  <c r="CX42"/>
  <c r="O403" i="1"/>
  <c r="N403"/>
  <c r="N347"/>
  <c r="O247"/>
  <c r="N247"/>
  <c r="O230"/>
  <c r="N230"/>
  <c r="O157"/>
  <c r="O175"/>
  <c r="N175"/>
  <c r="O306"/>
  <c r="O305" s="1"/>
  <c r="N306"/>
  <c r="N305" s="1"/>
  <c r="O189"/>
  <c r="N189"/>
  <c r="O181"/>
  <c r="N181"/>
  <c r="O126"/>
  <c r="N126"/>
  <c r="O183"/>
  <c r="N183"/>
  <c r="O200"/>
  <c r="N200"/>
  <c r="N210"/>
  <c r="P263"/>
  <c r="P253" s="1"/>
  <c r="P351"/>
  <c r="O348"/>
  <c r="P348"/>
  <c r="N348"/>
  <c r="O347"/>
  <c r="O344"/>
  <c r="P344"/>
  <c r="N344"/>
  <c r="O343"/>
  <c r="P343"/>
  <c r="N343"/>
  <c r="O335"/>
  <c r="P335"/>
  <c r="O337"/>
  <c r="N337"/>
  <c r="O352"/>
  <c r="P352"/>
  <c r="N352"/>
  <c r="O366"/>
  <c r="N366"/>
  <c r="P399"/>
  <c r="O455"/>
  <c r="P455"/>
  <c r="N455"/>
  <c r="O461"/>
  <c r="P461"/>
  <c r="Q461"/>
  <c r="R461"/>
  <c r="N461"/>
  <c r="O464"/>
  <c r="P464"/>
  <c r="Q464"/>
  <c r="R464"/>
  <c r="N464"/>
  <c r="O484"/>
  <c r="P484"/>
  <c r="N484"/>
  <c r="N9"/>
  <c r="O145"/>
  <c r="O274"/>
  <c r="N274"/>
  <c r="N145"/>
  <c r="O286"/>
  <c r="N286"/>
  <c r="O263"/>
  <c r="O253" s="1"/>
  <c r="N263"/>
  <c r="O19"/>
  <c r="N19"/>
  <c r="N17"/>
  <c r="P347"/>
  <c r="N25"/>
  <c r="O25"/>
  <c r="N26"/>
  <c r="O26"/>
  <c r="N27"/>
  <c r="O27"/>
  <c r="N228"/>
  <c r="O228"/>
  <c r="P228"/>
  <c r="N335"/>
  <c r="O467"/>
  <c r="Q467"/>
  <c r="R467"/>
  <c r="N467"/>
  <c r="DG42" i="6"/>
  <c r="CY42"/>
  <c r="CR42"/>
  <c r="CS42"/>
  <c r="P49" i="1"/>
  <c r="BL43" i="7"/>
  <c r="P312" i="1"/>
  <c r="P311" s="1"/>
  <c r="N253" l="1"/>
  <c r="P408"/>
  <c r="P407" s="1"/>
  <c r="P398" s="1"/>
  <c r="AN43" i="7"/>
  <c r="AT43"/>
  <c r="P208" i="1"/>
  <c r="Q408"/>
  <c r="Q407" s="1"/>
  <c r="Q398" s="1"/>
  <c r="Q304"/>
  <c r="R304"/>
  <c r="AX43" i="7"/>
  <c r="BH43"/>
  <c r="R398" i="1"/>
  <c r="P23"/>
  <c r="R23"/>
  <c r="R8" s="1"/>
  <c r="P304"/>
  <c r="O23"/>
  <c r="O408"/>
  <c r="O407" s="1"/>
  <c r="O398" s="1"/>
  <c r="N408"/>
  <c r="N407" s="1"/>
  <c r="N398" s="1"/>
  <c r="Q23"/>
  <c r="Q8" s="1"/>
  <c r="CH43" i="6"/>
  <c r="CB43"/>
  <c r="AZ43"/>
  <c r="CI43"/>
  <c r="CC43"/>
  <c r="BA43"/>
  <c r="DD43"/>
  <c r="CX43"/>
  <c r="CY43"/>
  <c r="O198" i="1"/>
  <c r="P333"/>
  <c r="N333"/>
  <c r="O312"/>
  <c r="O311" s="1"/>
  <c r="O304" s="1"/>
  <c r="P198"/>
  <c r="N312"/>
  <c r="N311" s="1"/>
  <c r="N304" s="1"/>
  <c r="P341"/>
  <c r="P247"/>
  <c r="N198"/>
  <c r="N23"/>
  <c r="O333"/>
  <c r="O208"/>
  <c r="N32"/>
  <c r="CF42" i="7"/>
  <c r="AE43"/>
  <c r="CE43"/>
  <c r="DE43" i="6"/>
  <c r="EW42"/>
  <c r="EV42"/>
  <c r="N208" i="1"/>
  <c r="O341"/>
  <c r="N341"/>
  <c r="P8" l="1"/>
  <c r="P7" s="1"/>
  <c r="AB43" i="7"/>
  <c r="CG43" s="1"/>
  <c r="Q7" i="1"/>
  <c r="R7"/>
  <c r="N8"/>
  <c r="N7" s="1"/>
  <c r="O8"/>
  <c r="O7" s="1"/>
  <c r="Q332"/>
  <c r="P332"/>
  <c r="N332"/>
  <c r="O332"/>
  <c r="R332"/>
  <c r="R6" s="1"/>
  <c r="R545" s="1"/>
  <c r="CG42" i="7"/>
  <c r="Q6" i="1" l="1"/>
  <c r="Q545" s="1"/>
  <c r="O6"/>
  <c r="O545" s="1"/>
  <c r="P6"/>
  <c r="P545" s="1"/>
  <c r="N6"/>
  <c r="N545" s="1"/>
</calcChain>
</file>

<file path=xl/sharedStrings.xml><?xml version="1.0" encoding="utf-8"?>
<sst xmlns="http://schemas.openxmlformats.org/spreadsheetml/2006/main" count="3885" uniqueCount="1474">
  <si>
    <t xml:space="preserve">Код строки
</t>
  </si>
  <si>
    <t xml:space="preserve">Код расхода по БК
</t>
  </si>
  <si>
    <t>Объем средств на исполнение расходного обязательства (тыс. руб.)</t>
  </si>
  <si>
    <t>1</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</si>
  <si>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</si>
  <si>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</si>
  <si>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1.5.4.2.39.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</si>
  <si>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 xml:space="preserve">Российской Федерации
</t>
  </si>
  <si>
    <t>субъекта Российской Федерации</t>
  </si>
  <si>
    <t>плановый период</t>
  </si>
  <si>
    <t>номер статьи,(подстатьи), пункта (подпункта)</t>
  </si>
  <si>
    <t xml:space="preserve">дата вступления в силу и срок действия
</t>
  </si>
  <si>
    <t>раздел</t>
  </si>
  <si>
    <t>подраздел</t>
  </si>
  <si>
    <t>по плану</t>
  </si>
  <si>
    <t>по факту</t>
  </si>
  <si>
    <t>2</t>
  </si>
  <si>
    <t>3</t>
  </si>
  <si>
    <t>4</t>
  </si>
  <si>
    <t>5</t>
  </si>
  <si>
    <t>6</t>
  </si>
  <si>
    <t>7</t>
  </si>
  <si>
    <t>8</t>
  </si>
  <si>
    <t>10</t>
  </si>
  <si>
    <t>11</t>
  </si>
  <si>
    <t>12</t>
  </si>
  <si>
    <t>13</t>
  </si>
  <si>
    <t>14</t>
  </si>
  <si>
    <t>1000</t>
  </si>
  <si>
    <t xml:space="preserve">
x
</t>
  </si>
  <si>
    <t>1001</t>
  </si>
  <si>
    <t xml:space="preserve">
</t>
  </si>
  <si>
    <t>01</t>
  </si>
  <si>
    <t>06</t>
  </si>
  <si>
    <t>1005</t>
  </si>
  <si>
    <t>05</t>
  </si>
  <si>
    <t>02</t>
  </si>
  <si>
    <t>04</t>
  </si>
  <si>
    <t>09</t>
  </si>
  <si>
    <t>1007</t>
  </si>
  <si>
    <t>08</t>
  </si>
  <si>
    <t>03</t>
  </si>
  <si>
    <t>1015</t>
  </si>
  <si>
    <t>07</t>
  </si>
  <si>
    <t>1024</t>
  </si>
  <si>
    <t>1048</t>
  </si>
  <si>
    <t>1100</t>
  </si>
  <si>
    <t>1103</t>
  </si>
  <si>
    <t>1118</t>
  </si>
  <si>
    <t>1.3.1.6. создание условий для развития туризма</t>
  </si>
  <si>
    <t>1401</t>
  </si>
  <si>
    <t>1403</t>
  </si>
  <si>
    <t>1503</t>
  </si>
  <si>
    <t>Итого расходных обязательств муниципальных образований</t>
  </si>
  <si>
    <t>8000</t>
  </si>
  <si>
    <t>муниципального образования</t>
  </si>
  <si>
    <t>Федеральный Закон от 06.10.2003 № 131-ФЗ "Об общих принципах организации местного самоуправления"</t>
  </si>
  <si>
    <t>06.10.2003, не установлен</t>
  </si>
  <si>
    <t xml:space="preserve">Закон Томской области от 11 сентября 2007 г. N 198-ОЗ "О муниципальной службе в Томской области" </t>
  </si>
  <si>
    <t>ст. 11, п. 1</t>
  </si>
  <si>
    <t>01.01.2006, не установлен</t>
  </si>
  <si>
    <t>Федеральный Закон от 02.03.2007 № 25-ФЗ "О муниципальной службе в РФ"</t>
  </si>
  <si>
    <t>01.06.2007, не установлен</t>
  </si>
  <si>
    <t>01.01.2008, не установлен</t>
  </si>
  <si>
    <t>29.02.1993, не установлен</t>
  </si>
  <si>
    <t>01.01.2005, не установлен</t>
  </si>
  <si>
    <t>01.01.2009, не установлен</t>
  </si>
  <si>
    <t>Решение Думы Колпашевского района от 26.11.2008 № 564 "О введении новых систем оплаты труда" (в редакции от 13.02.2009 № 621, от 24.02.2009 № 623, от 28.08.2009 № 690, от 07.12.2009 № 741, от 24.12.2010 № 31, от 25.11.2011 № 138, от 24.05.2012 № 82, от 16.12.2013 № 117, от 28.05.2014 № 49, от 27.04.2015 № 33)</t>
  </si>
  <si>
    <t>в целом</t>
  </si>
  <si>
    <t>13.08.2014, не установлен</t>
  </si>
  <si>
    <t>п. 1</t>
  </si>
  <si>
    <t>23.04.2012, не установлен</t>
  </si>
  <si>
    <t>п.1-3</t>
  </si>
  <si>
    <t>ст. 15, п.1, п.п. 3</t>
  </si>
  <si>
    <t xml:space="preserve">
Гл. 1-2 Положения</t>
  </si>
  <si>
    <t xml:space="preserve">
13.07.2010, не установлен</t>
  </si>
  <si>
    <t>Решенин Думы Колпашевского района от 14.07.2006 № 181 "Об утверждении Положения об организации работ по содержанию и ремонту, автомобильных дорог общего пользования между населенными пунктами и дорожных сооружений вне границ населенных пунктов в границах МО "Колпашевский район" (в редакции от 17.07.2008 № 501, от 23.07.2008 № 514, от 29.09.2010 № 919)</t>
  </si>
  <si>
    <t>Гл. 2-6 Положения</t>
  </si>
  <si>
    <t>01.08.2006, не установлен</t>
  </si>
  <si>
    <t>01.01.2016- 31.12.2016</t>
  </si>
  <si>
    <t>01.01.2014, не установлен</t>
  </si>
  <si>
    <t>Гл.3, ст.15, п.1, п.п.5</t>
  </si>
  <si>
    <t>13.05.2010, не установлен</t>
  </si>
  <si>
    <t>Гл.3, ст.15, п.1, п.п.6</t>
  </si>
  <si>
    <t>Постановление Администрации Колпашевского района от 14.09.2015 № 931 "О порядке расходования иных межбюджетных трансфертов, представленных из областного бюджета,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 (в редакции от 30.09.2015 № 1001)</t>
  </si>
  <si>
    <t>14.09.2015- 25.12.2015</t>
  </si>
  <si>
    <t>Решение Думы Колпашевского района от 27.02.2007 № 297 "Об утверждении Положения о формировании, пополнении и учете районного страхового (аварийного) запаса материально-технических ресурсов для предприятий ЖКХ Колпашевского района" (от 26.12.2007 № 408)</t>
  </si>
  <si>
    <t>п.3 Положения</t>
  </si>
  <si>
    <t>27.02.2007- не установлен</t>
  </si>
  <si>
    <t>п.1</t>
  </si>
  <si>
    <t>10.09.2012, не установлен</t>
  </si>
  <si>
    <t>Решение Думы Колпашевского района от 23.04.2012 № 46 "О порядке расходования денежных средств, выделенных бюджету муниципального образования "Колпашевский район" из бюджета Томской области"</t>
  </si>
  <si>
    <t>Федеральный Закон от 21.12.1994 № 68-ФЗ "О защите населения и территорий от чрезвычайных ситуаций природного и техногенного характера"</t>
  </si>
  <si>
    <t>ст. 24</t>
  </si>
  <si>
    <t>24.12.1994, не установлен</t>
  </si>
  <si>
    <t>Закон Томской области от 11.11.2005 N 206-ОЗ "О защите населения и территорий Томской области от чрезвычайных ситуаций природного и техногенного характера"</t>
  </si>
  <si>
    <t>03.12.2005, не установлен</t>
  </si>
  <si>
    <t>в том числе:</t>
  </si>
  <si>
    <t>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t>
  </si>
  <si>
    <t>п.1-3 Положения</t>
  </si>
  <si>
    <t>01.07.2007, не установлен</t>
  </si>
  <si>
    <t xml:space="preserve">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
</t>
  </si>
  <si>
    <t>Гл.3, ст.15, п.1, п.п. 14</t>
  </si>
  <si>
    <t>Постановление Администрации Томской области от 05.06.2014 N 215а "О Порядке предоставления иных межбюджетных трансфертов на приобретение модульных фельдшерско-акушерских пунктов"</t>
  </si>
  <si>
    <t>05.06.2014- 31.12.2014</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</si>
  <si>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t>
  </si>
  <si>
    <t>26.01.2015, не установлен</t>
  </si>
  <si>
    <t xml:space="preserve">Постановление Администрации Колпашеского района от 01.10.2014 № 1130 "О порядке расходования межбюджетного трансферта из областного бюджета бюджету муниципального образования «Колпашевский район» на приобретение модульных фельдшерско-акушерских пунктов" (в редакции от 19.12.2014 № 1534, от 27.12.2014 № 1160, от 04.03.2015 № 266)
</t>
  </si>
  <si>
    <t>01.10.2014- 31.03.2015</t>
  </si>
  <si>
    <t>Гл.3, ст.15, п. 1, п.п. 16</t>
  </si>
  <si>
    <t>Решение Думы Колпашевского района от 28.12.2005 № 50 "Об утверждении Положения о муниципальном архиве Колпашевского района"</t>
  </si>
  <si>
    <t>Гл.3, ст.15, часть 1, п.19.1</t>
  </si>
  <si>
    <t>ст. 10</t>
  </si>
  <si>
    <t>08.07.2007, не установлен</t>
  </si>
  <si>
    <t>Постановление Администрации Колпашевского района от 30.12.2013 № 1404 "Об утверждении муниципальной программы "Развитие культуры в Колпашевском районе на 2014-2017 годы" (в редакции от 21.03.2014 № 269, от 20.06.2014 № 584, от 24.09.2014 № 916, от 13.10.2014 № 1181, от 07.11.2014 № 1293, от 14.11.2014 № 1322, от 17.12.2014 № 1492, от 30.12.2014 № 1643, от 06.03.2015 № 276, от 13.04.2015 № 399, от 29.07.2015 № 732, от 29.09.2015 № 997, от 29.10.2015 № 1096, от 17.12.2015 № 1320)</t>
  </si>
  <si>
    <t>01.01.2014- 31.12.2017</t>
  </si>
  <si>
    <t>01.01.2015, не установлен</t>
  </si>
  <si>
    <t>Гл.3, ст.15, п.1, п.п. 25</t>
  </si>
  <si>
    <t>01.01.2013, не установлен</t>
  </si>
  <si>
    <t>19.09.2008, не установлен</t>
  </si>
  <si>
    <t>Решение Думы Колпашевскогот района от 29.04.2013 № 35 "О порядке использования средств бюджета муниципального образования "Колпашевский район" на реализацию мероприятий, направленных на содействие развитию малого и среднего предпринимательства" (в редакции от 05.09.2013 № 72, от 13.08.2014 № 76)</t>
  </si>
  <si>
    <t>29.04.2013, не установлен</t>
  </si>
  <si>
    <t>Решение Думы Колпашевского района от 29.04.2013 № 37 "О порядке использования средств бюджета муниципального образования "Колпашевский район" на проведение мероприятий по улучшению жилищных условий граждан, проживающих в сельской местности, в том числе молодых семей и молодых специалистов" (в редакции от 31.07.2015 № 71)</t>
  </si>
  <si>
    <t>29.04.2013- 31.12.2020</t>
  </si>
  <si>
    <t>ст. 1</t>
  </si>
  <si>
    <t>Постановление Администрации Колпашевского района от 31.03.2016 № 334 "Об утверждении муниципальной программы "Развитие молодежной политики, физической культуры и массового спорта на территории муниципального образования "Колпашевский район"</t>
  </si>
  <si>
    <t>01.01.2016- 31.12.2021</t>
  </si>
  <si>
    <t>Гл.3, ст.15, п.1, п.п.26</t>
  </si>
  <si>
    <t xml:space="preserve">п. 2-5 Положения,      </t>
  </si>
  <si>
    <t>30.03.2007, не установлен</t>
  </si>
  <si>
    <t xml:space="preserve">Федеральный Закон от 06.10.2003 № 131-ФЗ "Об общих принципах организации местного самоуправления" </t>
  </si>
  <si>
    <t>Гл.3, ст.15, п.1, п.п.27</t>
  </si>
  <si>
    <t>01.01.2007, не установлен</t>
  </si>
  <si>
    <t>Программа</t>
  </si>
  <si>
    <t>01.01.2016- 31.12.2020</t>
  </si>
  <si>
    <t>(684)</t>
  </si>
  <si>
    <t>Решение Думы Колпашевского района от 15.12.2014 № 161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 поселений Колпашевского района"</t>
  </si>
  <si>
    <t>Решение Думы Колпашевского района от 15.12.2014 № 160 "Об организации библиотечного обслуживания населения сельских поселений Колпашевского района, комплектовании и обеспечении сохранности библиотечных фондов библиотек сельских поселений Колпашевского района"</t>
  </si>
  <si>
    <t>Постановление Администрации Колпашевского района от 30.01.2015 № 79 "Об утверждении Порядка расходования иных межбюджетных трансфертов, выделяемых бюджету муниципального образования "Колпашевский район" на осуществление переданных полномочий по решению вопроса местного значения по организации библиотечного обслуживания населения, комплектованию и обеспечению сохранности библиотечных фондов библиотек Колпашевского городского поселения"</t>
  </si>
  <si>
    <t>ст. 34</t>
  </si>
  <si>
    <t>ст. 9-13</t>
  </si>
  <si>
    <t>Решение Думы Колпашевского района от 08.10.2005 № 418 "Об утверждении положений " (Приложение 1)</t>
  </si>
  <si>
    <t xml:space="preserve">п.2-4 Положения </t>
  </si>
  <si>
    <t xml:space="preserve">01.01.2006, не установлен </t>
  </si>
  <si>
    <t>ст.34, п.9</t>
  </si>
  <si>
    <t>06.10.2003, не утановлен</t>
  </si>
  <si>
    <t>п.1-2</t>
  </si>
  <si>
    <t>31.05.2006, не установлен</t>
  </si>
  <si>
    <t>Решение Думы Колпашевского района от 25.03.2015 № 30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t>
  </si>
  <si>
    <t>ст.17, п.1, п.п. 3</t>
  </si>
  <si>
    <t>Решение Думы Колпашевского района от 14.07.2006 № 176 "О финансировании расходов, связанных с размещением заказа на поставку товаров, выполнение работ и оказание услуг для муниципальных нужд" (в редакции от 28.04.2008 № 467)</t>
  </si>
  <si>
    <t>п. 1-4</t>
  </si>
  <si>
    <t>14.07.2006, не установлен</t>
  </si>
  <si>
    <t>Постановление Правительства РФ от 30.12.2003 N 794 "О единой государственной системе предупреждения и ликвидации чрезвычайных ситуаций"</t>
  </si>
  <si>
    <t>п.8, п.9, п.20, п.30</t>
  </si>
  <si>
    <t>20.01.2004, не установлен</t>
  </si>
  <si>
    <t>Постановление Администрации Томской области от 17.08.2007 N 122а "Об утверждении Положения о территориальной подсистеме единой государственной системы предупреждения и ликвидации чрезвычайных ситуаций Томской области"</t>
  </si>
  <si>
    <t>п. 32</t>
  </si>
  <si>
    <t>17.08.2007, не установлен</t>
  </si>
  <si>
    <t>Постановление Администрации Колпашевского района от 20.11.2015 № 1176 "Об утверждении положения о единой дежурно-диспетчерской службе Колпашевского района"</t>
  </si>
  <si>
    <t>20.11.2015, не установлен</t>
  </si>
  <si>
    <t>ст.57, п.1, п.2</t>
  </si>
  <si>
    <t>25.06.2002, не установлен</t>
  </si>
  <si>
    <t>ст. 22, п.1</t>
  </si>
  <si>
    <t>29.01.2007, не установлен</t>
  </si>
  <si>
    <t>Решение Думы Колпашевского района от 26.12.2007 № 401 "О порядке расходования средств местного бюджета на финансирование проведения муниципальных выборов"</t>
  </si>
  <si>
    <t>Федеральный закон от 26.11.1996 № 138-ФЗ "Об обеспечении конституционных прав граждан Российской Федерации избирать и быть избранными в органы местного самоуправления"</t>
  </si>
  <si>
    <t>ст.4, п.4</t>
  </si>
  <si>
    <t>02.12.1996, не установлен</t>
  </si>
  <si>
    <t>Закон Томской области от 14.02.2005 № 29-ОЗ "О муниципальных выборах в Томской области"</t>
  </si>
  <si>
    <t>ст. 46, п.1</t>
  </si>
  <si>
    <t>26.02.2005, не установлен</t>
  </si>
  <si>
    <t>с. 17, п.1, п.п. 5</t>
  </si>
  <si>
    <t>Закон Томской области от 10.04.2003 № 50-ОЗ "Об избирательных комиссиях, комиссиях референдума в Томской области"</t>
  </si>
  <si>
    <t>ст.15, п.1</t>
  </si>
  <si>
    <t>06.05.2003, не установлен</t>
  </si>
  <si>
    <t>Федеральный закон от 10.01.2003 № 20-ФЗ "О Государственной автоматизированной системе Российской Федерации "Выборы"</t>
  </si>
  <si>
    <t>ст.25, п.1, п.2</t>
  </si>
  <si>
    <t>24.01.2003, не установлен</t>
  </si>
  <si>
    <t>Гл.3, ст.17, п. 1, п.п. 8.1.</t>
  </si>
  <si>
    <t>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</si>
  <si>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п. 1-3</t>
  </si>
  <si>
    <t xml:space="preserve">01.01.2012, не установлен </t>
  </si>
  <si>
    <t>(659)</t>
  </si>
  <si>
    <t>Постановление Администрации Томской области от 28.12.2012 N 544а "О порядке предоставления иных межбюджетных трансфертов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</si>
  <si>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п. 1,3</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</si>
  <si>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 (в редакции от 27.11.2015 № 39)</t>
  </si>
  <si>
    <t>Федеральный Закон от 12.01.1996 № 7-ФЗ "О некоммерческих организациях"</t>
  </si>
  <si>
    <t>ст. 31</t>
  </si>
  <si>
    <t>24.01.1996, не установлен</t>
  </si>
  <si>
    <t>Решение Думы Колпашевского района от 25.11.2013 № 107 "О финансировании за счет средств бюджета МО "Колпашевский район" мероприятий направленных на поддержку социально-орентированных некомерческих организаций, не являющихся муниципальными учреждениями" (в редакции от 15.12.2014 № 154)</t>
  </si>
  <si>
    <t>25.11.2013, не установлен</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</si>
  <si>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</si>
  <si>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ст.8</t>
  </si>
  <si>
    <t>23.12.1998, не установлен</t>
  </si>
  <si>
    <t>Решение Думы Колпашевского района от 25.11.2011 № 150 "О порядке расходования бюджетных ассигнований, выделенных бюджету муниципального образования «Колпашевский район» из бюджета Томской области на исполнение судебных решений"</t>
  </si>
  <si>
    <t>25.11.2011, не установлен</t>
  </si>
  <si>
    <t>ст.15.1, п.2</t>
  </si>
  <si>
    <t>Ст. 4, п. 2,3 Положения</t>
  </si>
  <si>
    <t>Решение Думы Колпашевского района от 31.10.2006 № 222 "Об утверждении положения о присвоении звания "Человек года" на территории муниципального образования "Колпашевский район"</t>
  </si>
  <si>
    <t>Гл. 6- 9 Положения</t>
  </si>
  <si>
    <t>31.10.2006, не установлен</t>
  </si>
  <si>
    <t>п.2</t>
  </si>
  <si>
    <t>19.12.2012, не установлен</t>
  </si>
  <si>
    <t>Закон Томской области от 07.09.2009 N 169-ОЗ "О взаимодействии органов государственной власти Томской области с Ассоциацией "Совет муниципальных образований Томской области"</t>
  </si>
  <si>
    <t>ст. 6,7</t>
  </si>
  <si>
    <t>26.09.2009, не установлен</t>
  </si>
  <si>
    <t>Решение Думы Колпашевского района от 28.02.2006 № 82 "О вступлении в Совет Муниципальных образований Томской области" (в редакции от 22.12.2006 № 255, от 26.02.2010 № 814 )</t>
  </si>
  <si>
    <t>28.02.2006, не установлен</t>
  </si>
  <si>
    <t>Федеральный закон от 20.08.2004 N 113-ФЗ "О присяжных заседателях федеральных судов общей юрисдикции в Российской Федерации"</t>
  </si>
  <si>
    <t>ст. 5, п. 14</t>
  </si>
  <si>
    <t>23.08.2004, не установлен</t>
  </si>
  <si>
    <t xml:space="preserve">Закон Томской области от 29.12.2007 N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</si>
  <si>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Постановление Администрации Колпашевского района от 30.06.2010 № 862 "Об установлении расходных обязательств по осуществлению отдельных государственных полномочий по составлению (изменению и дополнению) списков кандидатов в присяжные заседатели федеральных судов общей юрисдикции в РФ"         </t>
  </si>
  <si>
    <t>01.07.2010 - до окончания срока действия ЗТО от 29.12.2007 № 320-ОЗ</t>
  </si>
  <si>
    <t>Федеральный закон от 22.10.2004 N 125-ФЗ "Об архивном деле в Российской Федерации"</t>
  </si>
  <si>
    <t>27.10.2004, не установлен</t>
  </si>
  <si>
    <t xml:space="preserve">Закон Томской области от 10.11.2006 N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t>
  </si>
  <si>
    <t>вводиться в действие ежегодно</t>
  </si>
  <si>
    <t>Постановление Администрации Колпашевского района от 30.06.2010г.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t>
  </si>
  <si>
    <t>п.1-4</t>
  </si>
  <si>
    <t>01.07.2010, до окончания срока действия ЗТО от 10.11.2006 № 261-ОЗ</t>
  </si>
  <si>
    <t xml:space="preserve">Закон Томской области от 14.10.2005 N 191-ОЗ "О наделении органов местного самоуправления отдельными государственными полномочиями по расчету и предоставлению дотаций поселениям Томской области за счет средств областного бюджета" </t>
  </si>
  <si>
    <t>п. 1-5</t>
  </si>
  <si>
    <t xml:space="preserve">Постановление Администрации Колпашевского района от 29.06.2010 № 845 "Об установлении расходных обязательств по осуществлению отдельных государственных полномочий по расчету и предоставлению дотаций поселениям, входящим в состав МО "Колпашевский район" </t>
  </si>
  <si>
    <t>01.07.2010, до окончания действия ЗТО от 14.10.2005 № 191-ОЗ</t>
  </si>
  <si>
    <t>Федеральный закон от 29 декабря 2012 г. N 273-ФЗ
"Об образовании в Российской Федерации"</t>
  </si>
  <si>
    <t>01.09.2013, не установлен</t>
  </si>
  <si>
    <t>ст.47, ч.5, п.7</t>
  </si>
  <si>
    <t>Закон Томской области от 15.12.2004 N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</si>
  <si>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ст. 2-5</t>
  </si>
  <si>
    <t>01.01.2006 вводится в действие ежегодно</t>
  </si>
  <si>
    <t>Постановление Администрации Колпашевского района  от 26.06.2010 № 829 "Об установлении расходных обязательств по осуществлению отдельных государственных полномочий по выплате надбавок к тарифной ставке (должностному окладу) педагогическим работникам и руководителм МОУ" (в редакции от 28.11.2013 № 1232)</t>
  </si>
  <si>
    <t xml:space="preserve">01.07.2010-до окончания срока действия ЗТО от 15.12.2004 № 248-ОЗ </t>
  </si>
  <si>
    <t>ст. 8</t>
  </si>
  <si>
    <t xml:space="preserve">Закон Томской области от 11.09.2007 N 188-ОЗ "О наделении органов местного самоуправления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t>
  </si>
  <si>
    <t>ст. 3,6</t>
  </si>
  <si>
    <t>01.01.2008, вводиться ежегодно ЗТО "Об областном бюджете на очередной финансовый год"</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</si>
  <si>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t>
  </si>
  <si>
    <t xml:space="preserve">01.07.2010, до окончания срока действия ЗТО от 11.09.2007 № 188-ОЗ </t>
  </si>
  <si>
    <t>Федеральный закон от 24.04.2008 N 48-ФЗ "Об опеке и попечительстве"</t>
  </si>
  <si>
    <t>01.09.2008, не установлен</t>
  </si>
  <si>
    <t>Закон Томской области от 15.12.2004 N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</si>
  <si>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ст.1 п.п.1)</t>
  </si>
  <si>
    <t>п.1.3.</t>
  </si>
  <si>
    <t xml:space="preserve">01.07.2010- до окончания срока действия ЗТО от 15.12.2004 № 246-ОЗ </t>
  </si>
  <si>
    <t>ст.47</t>
  </si>
  <si>
    <t>Закон Томской области от 09.12.2013 N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</si>
  <si>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ст.5</t>
  </si>
  <si>
    <t>01.01.2014, вводится в действие ежегодно ЗТО о бюджете ТО</t>
  </si>
  <si>
    <t>Постановление Администрации Колпашевского района от 15.01.2014 № 14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214-ОЗ"</t>
  </si>
  <si>
    <t>01.01.2014, до окончания действия ЗТО от 09.12.2013 № 214-ОЗ</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</si>
  <si>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</si>
  <si>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23.12.1996, не установлен</t>
  </si>
  <si>
    <t>ст.1 п.п.5)</t>
  </si>
  <si>
    <t>вводится в действие ежегодно</t>
  </si>
  <si>
    <t>п.1.3</t>
  </si>
  <si>
    <t>01.07.2010, до окончания срока действия ЗТО от 15.12.2004 № 246-ОЗ</t>
  </si>
  <si>
    <t>Кодекс Российской Федерации об административных правонарушениях
от 30 декабря 2001 г. N 195-ФЗ</t>
  </si>
  <si>
    <t>ст.22.1</t>
  </si>
  <si>
    <t>01.07.2002, не установлен</t>
  </si>
  <si>
    <t>Закон Томской области от 24.11.2009 N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t>
  </si>
  <si>
    <t>ст.4</t>
  </si>
  <si>
    <t>Постановление Администрации Колпашевского района от 30.06.2010 № 865 "Об установлении расходного обязательства МО "Колпашевский район" по осуществлению отдельных государственных полномочий по созданию и обеспечению деятельности административных комиссий"</t>
  </si>
  <si>
    <t>01.07.2010, до окончания срока действия ЗТО от 24.11.2009 № 261-ОЗ</t>
  </si>
  <si>
    <t>Федеральный закон от 24.06.1999 N 120-ФЗ "Об основах системы профилактики безнадзорности и правонарушений несовершеннолетних"</t>
  </si>
  <si>
    <t>ст. 2, п.п.2; ст. 11, п.п. 1;  ст. 25, п.п. 1, п.п. 3</t>
  </si>
  <si>
    <t>28.06.1999, не установлен</t>
  </si>
  <si>
    <t>Закон Томской области от 29.12.2005 N 241-ОЗ "О наделении органов местного самоуправления государственными полномочиями по созданию и обеспечению деятельности комиссий по делам несовершеннолетних и защите их прав"</t>
  </si>
  <si>
    <t>Ст. 1-3</t>
  </si>
  <si>
    <t>вводится ежегодно ЗТО об областном бюджете на очередной финансовый год</t>
  </si>
  <si>
    <t>Постановление Администрации Колпашевского района от 30.06.2010 № 860 "Об установлении расходного обязательства муниципального образования "Колпашевский район" по осуществлению отдельных государственных полномочий по созданию и обеспечению деятельности комиссий по делам несовершенннолетних и защите их прав"</t>
  </si>
  <si>
    <t>01.07.2010, до окончания срока действия ЗТО от 29.12.2005 № 241-ОЗ</t>
  </si>
  <si>
    <t>27.12.1998, не установлен</t>
  </si>
  <si>
    <t>Закон Томской области от 28.12.2007 №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</si>
  <si>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01.01.2008, вводится ежегодно ЗТО об областном бюджете на очередной финансовый год</t>
  </si>
  <si>
    <t>01.07.2010, до окнчания срока действия ЗТО от 28.12.2007 № 298-ОЗ</t>
  </si>
  <si>
    <t xml:space="preserve">Закон Томской области от 07.07.2009 N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</si>
  <si>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ст. 7 п.1</t>
  </si>
  <si>
    <t>Постановление Администрации Колпашевского района от 30.06.2010 № 866 "Об установлении расходного обязательства МО "Колпашевский район" по осуществлению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в Томской области"</t>
  </si>
  <si>
    <t>01.07.2010- до окончания срока действия ЗТО от 07.07.2009 № 104-ОЗ</t>
  </si>
  <si>
    <t>Закон Томской области от 09.12.2013 N 216-ОЗ "О наделении органов местного самоуправления отдельными государственными полномочиями по регистрации коллективных договоров"</t>
  </si>
  <si>
    <t>Постановление Администрации Колпашевского района от 30.12.2013 № 1405 "Об установлении расходных обязательств по осуществлению отдельных государственных полномочий по регистрации коллективных договоров"</t>
  </si>
  <si>
    <t>01.01.2014, до окончания срока действия ЗТО от 09.12.2013 № 216-ОЗ</t>
  </si>
  <si>
    <t>Постановление Главного государственного санитарного врача РФ от 6 мая 2010 г. N 54
"Об утверждении СП 3.1.7.2627-10"</t>
  </si>
  <si>
    <t>раздел IX, п. 9.2.</t>
  </si>
  <si>
    <t>06.05.2010, не установлен</t>
  </si>
  <si>
    <t xml:space="preserve">Закон Томской области от 11.04.2013 N 51-ОЗ "О наделении органов местного самоуправления отдельными государственными полномочиями по регулированию численности безнадзорных животных" </t>
  </si>
  <si>
    <t>01.06.2013, вводится в действие ежегодно ЗТО о бюджете ТО</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</si>
  <si>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численности безнадзорных животных на территории муниципального образования "Колпашевский район"</t>
  </si>
  <si>
    <t>01.06.2013, до окончания действия ЗТО от 11.04.2013 № 51-ОЗ</t>
  </si>
  <si>
    <t>Постановление Правительства РФ от 7 марта 1995 г. N 239 "О мерах по упорядочению государственного регулирования цен (тарифов)"</t>
  </si>
  <si>
    <t>16.03.1995, не установлен</t>
  </si>
  <si>
    <t xml:space="preserve">Закон Томской области от 18.03.2003 N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t>
  </si>
  <si>
    <t>ст. 2-4</t>
  </si>
  <si>
    <t>01.05.2006 вводиться в действие ежегодно</t>
  </si>
  <si>
    <t>п.1-6</t>
  </si>
  <si>
    <t>01.07.2010-До окончания срока действия ЗТО от 18.03.2003 № 36-ОЗ</t>
  </si>
  <si>
    <t>Закон Томской области от 09.12.2013 N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 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</si>
  <si>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01.09.2013, вводится в действие ежегодно ЗТО о бюджете ТО</t>
  </si>
  <si>
    <t>Постановление Администрации Колпашевского района от 15.01.2014 № 15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213-ОЗ"</t>
  </si>
  <si>
    <t>01.01.2014, до окончания действия ЗТО от 09.12.2013 № 213-ОЗ</t>
  </si>
  <si>
    <t>Федеральный закон от 25.10.2002 № 125-ФЗ "О жилищных субсидиях гражданам, выезжающим из районов Крайнего Севера и приравненных к ним местностей"</t>
  </si>
  <si>
    <t>ст. 3</t>
  </si>
  <si>
    <t>01.01.2003, не установлен</t>
  </si>
  <si>
    <t xml:space="preserve">Закон Томской области от 13.04.2006 N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t>
  </si>
  <si>
    <t>08.05.2006, вводиться ежегодно ЗТО "Об областном бюджете на очередной финансовый год"</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</si>
  <si>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</si>
  <si>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01.01.2011, не установлен</t>
  </si>
  <si>
    <t>01.01.2013 не установлен</t>
  </si>
  <si>
    <t>Гл.3, ст.15, п. 1, п.п. 20</t>
  </si>
  <si>
    <t>ст. 15</t>
  </si>
  <si>
    <t>16.07.2012, не установлен</t>
  </si>
  <si>
    <t>Федеральный закон от 28.03.1998 N 53-ФЗ "О воинской обязанности и военной службе"</t>
  </si>
  <si>
    <t>ст. 8, п. 2</t>
  </si>
  <si>
    <t>30.03.1998, не установлен</t>
  </si>
  <si>
    <t>21.12.2015- 25.12.2015</t>
  </si>
  <si>
    <t>(320)</t>
  </si>
  <si>
    <t>1939 (357)</t>
  </si>
  <si>
    <t>Решение Думы Колпашевского района от 21.12.2015 № 51 "О предоставлении иных межбюджетных трансфертов поселениям Колпашевского района на разработку программ комплексного развития коммунальной инфраструктуры"</t>
  </si>
  <si>
    <t>(617)</t>
  </si>
  <si>
    <t xml:space="preserve">ст. 15, ч. 1, п 11.                                                                                                                                                                          </t>
  </si>
  <si>
    <t>ст. 22</t>
  </si>
  <si>
    <t>Решение Думы Колпашевского района от 28.08.2009 № 691 "О введении НСОТ работников муниципальных общеобразовательных учреждений" (в редакции от 07.12.2009 № 742, от 25.12.2009 № 755, от 24.05.2010 № 838, от 24.05.2012 № 83, от 28.05.2014 № 50, от 27.04.2015 № 35)</t>
  </si>
  <si>
    <t xml:space="preserve">01.09.2013, не установлен </t>
  </si>
  <si>
    <t xml:space="preserve">Закон Томской области от 28.12.2010 N 336-ОЗ "О предоставлении межбюджетных трансфертов" </t>
  </si>
  <si>
    <t>абз 7 п.1 ст.1</t>
  </si>
  <si>
    <t>(570)</t>
  </si>
  <si>
    <t>ст. 23</t>
  </si>
  <si>
    <t>Решение Думы Колпашевского района от 26.01.2015 № 1 "Об утверждении Положения о порядке финансирования расходов на создание условий для осуществления присмотра и ухода за детьми, содержание детей в муниципальных образовательных организациях муниципального образования "Колпашевский район" за счет средств бюджета муниципального образования "Колпашевский район"  (в редакции решения от 29.02.2016 № 7)</t>
  </si>
  <si>
    <t>20.03.2013, не установлен</t>
  </si>
  <si>
    <t>(578)</t>
  </si>
  <si>
    <t>01.09.2019, не установлен</t>
  </si>
  <si>
    <t>01.01.2010, не установлен</t>
  </si>
  <si>
    <t>01.04.2013, не установлен</t>
  </si>
  <si>
    <t>(574)</t>
  </si>
  <si>
    <t>(683)</t>
  </si>
  <si>
    <t>(679)</t>
  </si>
  <si>
    <t>(613)</t>
  </si>
  <si>
    <t xml:space="preserve"> ст. 47, ч.5, п. 7</t>
  </si>
  <si>
    <t>(612)</t>
  </si>
  <si>
    <t xml:space="preserve"> 01.09.2013, не установлен </t>
  </si>
  <si>
    <t xml:space="preserve"> ст. 36, ч.14</t>
  </si>
  <si>
    <t>(660)</t>
  </si>
  <si>
    <t>ст. 15, п.1, п.п. 4</t>
  </si>
  <si>
    <t>Гл.3, ст.15, п.1, п.п.6.2.</t>
  </si>
  <si>
    <t>Гл.3, ст.15, п.1, п.п. 9</t>
  </si>
  <si>
    <t xml:space="preserve">ст. 15, п. 1, п.п 11.                                                                                                                                                                          </t>
  </si>
  <si>
    <t>ст. 22, 23, 24</t>
  </si>
  <si>
    <t xml:space="preserve">ст. 15, п.1, п.п. 11.                                                                                                                                                                                </t>
  </si>
  <si>
    <t>ст. 15, ч.1, п. 11.</t>
  </si>
  <si>
    <t xml:space="preserve">  ст. 9, ч.1, п. 2,5</t>
  </si>
  <si>
    <t>Решение Думы Колпашевского района от 10.12.2005 № 31 "Об утверждении Положения об организации предоставления дополнительного образования и финансирования учреждений дополнительного образования детей в Колпашевском районе" (в редакции решений от 29.05.2015 № 44, от 29.02.2016 № 8)</t>
  </si>
  <si>
    <t xml:space="preserve">Закон Томской области от 12.08.2013 № 149-ОЗ "Об образовании в Томской области" </t>
  </si>
  <si>
    <t xml:space="preserve"> Федеральный закон от 29.12.2012 № 273-ФЗ "Об образовании в Российской Федерации" </t>
  </si>
  <si>
    <t>Федеральный закон от 06.10.2003 № 131-ФЗ "Об общих принципах организации местного самоуправления в РФ"</t>
  </si>
  <si>
    <t>Гл.3, ст.15, п.1, п.п.12</t>
  </si>
  <si>
    <t>Гл.3, ст.15, часть 1, п.19.2</t>
  </si>
  <si>
    <t>Решение Думы Колпашевского района от 25.12.2009 № 774 "О порядке использования средств бюджета муниципального образования "Колпашевский район" на реализацию мероприятий по созданию условий для развития местного традиционного народного художественного творчества в поселениях, входящих в состав Колпашевского района" (в редакции от 16.04.2010 № 824, от 23.04.2012 № 66, от 28.04.2014 № 40, от 15.12.2014 № 152, от 25.03.2015 № 28)</t>
  </si>
  <si>
    <t xml:space="preserve">Закон Томской области от 11.09.2007 N 198-ОЗ "О муниципальной службе в Томской области" </t>
  </si>
  <si>
    <t xml:space="preserve">Закон Томской области от 14.05.2005 N 78-ОЗ "О гарантиях и компенсациях за счет средств областного бюджета для лиц, проживающих в местностях, приравненных к районам Крайнего Севера" </t>
  </si>
  <si>
    <t>Закон РФ от 19.02.1993 N 4520-I "О государственных гарантиях и компенсациях для лиц, работающих и проживающих в районах Крайнего Севера и приравненных к ним местностях"</t>
  </si>
  <si>
    <t>Федеральный закон от 12.06.2002 N 67-ФЗ "Об основных гарантиях избирательных прав и права на участие в референдуме граждан Российской Федерации"</t>
  </si>
  <si>
    <t>Закон Томской области от 12.01.2007 N 29-ОЗ "О референдуме Томской области и местном референдуме"</t>
  </si>
  <si>
    <t>ст. 17, п.1, п.п.1</t>
  </si>
  <si>
    <t>Гл.3, ст.17, п. 1, п.п. 9.</t>
  </si>
  <si>
    <t>Гл.3, ст.20, п. 5.</t>
  </si>
  <si>
    <t>Федеральный закон от 21.12.1996 N 159-ФЗ "О дополнительных гарантиях по социальной поддержке детей-сирот и детей, оставшихся без попечения родителей"</t>
  </si>
  <si>
    <t>Гл.3, ст.15.1. п. 1, п.п. 8.</t>
  </si>
  <si>
    <t>Постановление Администрации Колпашевского района от 02.04.2010 № 512 "Об утверждении Методологии расчёта долговой нагрузки на бюджет муниципального образования "Колпашевский район"  с учётом действующих и планируемых к принятию долговых обязательств  на  среднесрочный прогноз"</t>
  </si>
  <si>
    <t>02.04.2010, не установлен</t>
  </si>
  <si>
    <t>Постановление Главы Колпашевского района от 22.06.2009 № 566 "Об утверждении Положения о порядке ведения муниципальной долговой книги муниципального образования "Колпашевский район"</t>
  </si>
  <si>
    <t>22.06.2009, не установлен</t>
  </si>
  <si>
    <t>28.04.2014, не установлен</t>
  </si>
  <si>
    <t>16.04.2015, не установлен</t>
  </si>
  <si>
    <t>Закон Томской области от 29.12.2015 N 215-ОЗ "О наделении органов местного самоуправления отдельными государственными полномочиями на подготовку и проведение на территории Томской области Всероссийской сельскохозяйственной переписи в 2016 году"</t>
  </si>
  <si>
    <t>Федеральный закон от 21 июля 2005 г. N 108-ФЗ
"О Всероссийской сельскохозяйственной переписи"</t>
  </si>
  <si>
    <t>21.06.2005, не установлен</t>
  </si>
  <si>
    <t>1101</t>
  </si>
  <si>
    <t>0102</t>
  </si>
  <si>
    <t>0103</t>
  </si>
  <si>
    <t>0104</t>
  </si>
  <si>
    <t>0106</t>
  </si>
  <si>
    <t>0111</t>
  </si>
  <si>
    <t>0113</t>
  </si>
  <si>
    <t>1004</t>
  </si>
  <si>
    <t>1020</t>
  </si>
  <si>
    <t>0309</t>
  </si>
  <si>
    <t>1010</t>
  </si>
  <si>
    <t>0405</t>
  </si>
  <si>
    <t>0406</t>
  </si>
  <si>
    <t>0408</t>
  </si>
  <si>
    <t>0409</t>
  </si>
  <si>
    <t>1006</t>
  </si>
  <si>
    <t>0412</t>
  </si>
  <si>
    <t>0502</t>
  </si>
  <si>
    <t>0503</t>
  </si>
  <si>
    <t>0701</t>
  </si>
  <si>
    <t>0702</t>
  </si>
  <si>
    <t>0707</t>
  </si>
  <si>
    <t>0709</t>
  </si>
  <si>
    <t>0801</t>
  </si>
  <si>
    <t>0804</t>
  </si>
  <si>
    <t>1003</t>
  </si>
  <si>
    <t>1102</t>
  </si>
  <si>
    <t>1301</t>
  </si>
  <si>
    <t>итого</t>
  </si>
  <si>
    <t>0203</t>
  </si>
  <si>
    <t>0310</t>
  </si>
  <si>
    <t>0501</t>
  </si>
  <si>
    <t>0401</t>
  </si>
  <si>
    <t>22.06.2015, не установлен</t>
  </si>
  <si>
    <t>Решение Думы Колпашевского района от 13.08.2014 № 75 "О финансировании за счет средств бюджета муниципального образования "Колпашевский район" мероприятий, направленных на поддержку садоводчиских, огороднических и дачных некомерческих объединений"</t>
  </si>
  <si>
    <t xml:space="preserve">Постановление Администрации Колпашевского района от 30.06.2010 № 855 "Об установлении расходных обязательств по осуществлению отдельных государственных полномочий по государственной поддержке сельскохозяйственного производства" </t>
  </si>
  <si>
    <t>01.07.2010, до окончания действия ЗТО от 29.12.2005 № 248-ОЗ</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</si>
  <si>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13.02.2013 № 119, от 19.06.2012 № 577, от 13.02.2013 № 119)</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</si>
  <si>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расширенре рынка сельскохозяйственной продукции, сырья, продовольствия" (в редакции от 27.11.2015 № 44)</t>
  </si>
  <si>
    <t>(661)</t>
  </si>
  <si>
    <t>(658)</t>
  </si>
  <si>
    <t>(657)</t>
  </si>
  <si>
    <t>Постановление Администрации Колпашевского района от 29.12.2011 № 1426 "Об утверждении Порядка использования бюджетных ассигнований резервного фонда Администрации Колпашевского района" (в редакции от 26.01.2012 № 61, от 15.04.2014 № 344, от 03.04.2015 № 379, от 26.05.2016 № 578)</t>
  </si>
  <si>
    <t>25.11.2013- 31.12.2020</t>
  </si>
  <si>
    <t>21.03.2016- 31.12.2020</t>
  </si>
  <si>
    <t>подпрограмма</t>
  </si>
  <si>
    <t>01.01.2016-31.12.2021</t>
  </si>
  <si>
    <t>01.01.2014- 31.12.2020</t>
  </si>
  <si>
    <t>Постановление Администрации Томской области от 26.04.2012 N 163а "Об утверждении Порядка предоставления иных межбюджетных трансфертов на исполнение судебных актов по обеспечению жилыми помещениями детей-сирот и детей, оставшихся без попечения родителей,а также лиц из их числа"</t>
  </si>
  <si>
    <t>п.2,3 порядка</t>
  </si>
  <si>
    <t>01.01.2012, не установлен</t>
  </si>
  <si>
    <t>Федеральный закон от 29.12.2006 N 264-ФЗ "О развитии сельского хозяйства"</t>
  </si>
  <si>
    <t>ст.7, п.1-2</t>
  </si>
  <si>
    <t>11.01.2007, не установлен</t>
  </si>
  <si>
    <t>Закон Томской области от 29.12.2005 N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</si>
  <si>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ст. 4,5</t>
  </si>
  <si>
    <t>Закон Российской Федерации от 21.02.1992 N 2395-I "О недрах"</t>
  </si>
  <si>
    <t>ст.3</t>
  </si>
  <si>
    <t>21.02.1992, не установлен</t>
  </si>
  <si>
    <t>Постановление Администрации Томской области от 17.09.2014 N 341а "О предоставлении из областного бюджета бюджетам муниципальных образований Томской области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t>
  </si>
  <si>
    <t>30.09.2014, не установлен</t>
  </si>
  <si>
    <t xml:space="preserve">Решение Думы Колпашевского района  от 23.04.2012 № 46 " О порядке расходования денежных средств, выделенных бюджету муниципального образования "Колпашевский район" из бюджета Томской области"
</t>
  </si>
  <si>
    <t>01.04.2012, не установлен</t>
  </si>
  <si>
    <t>01.01.2016, не установлен</t>
  </si>
  <si>
    <t>Решение Думы Колпашевского района от 28.06.2016 № 56 "О порядке и случаях использования собственных материальных ресурсов и финансовых средств муниципального образования "Колпашевский район" для осуществления переданных полномочий по решению вопросов местного значения поселений Колпашевского района"</t>
  </si>
  <si>
    <t>28.06.2016, не установлен</t>
  </si>
  <si>
    <t>01.01.2017, не установлен</t>
  </si>
  <si>
    <t>0105</t>
  </si>
  <si>
    <t>23.05.2012, не установлен</t>
  </si>
  <si>
    <r>
      <t>наименование, номер и дата</t>
    </r>
    <r>
      <rPr>
        <b/>
        <sz val="9"/>
        <rFont val="Times New Roman"/>
        <family val="1"/>
        <charset val="204"/>
      </rPr>
      <t xml:space="preserve">
</t>
    </r>
  </si>
  <si>
    <t>25.04.2014, не установлен</t>
  </si>
  <si>
    <t>Постановление Администрации Колпашевского района от 29.01.2013 № 51 "О порядке расходования средств межбюджетных трансфертов на выплату стипендии Губернатора Томской области молодым учителям" (в редакции от 24.01.2014 № 58, от 14.10.2016 № 1137)</t>
  </si>
  <si>
    <t>(571)</t>
  </si>
  <si>
    <t>(564) (565) (628) (663)</t>
  </si>
  <si>
    <t>01.09.2015, не установлен</t>
  </si>
  <si>
    <t>0107</t>
  </si>
  <si>
    <t>0703</t>
  </si>
  <si>
    <t>(100 303)</t>
  </si>
  <si>
    <t>(208 567)</t>
  </si>
  <si>
    <t>Закон РФ от 09.10.1992 N 3612-I "Основы законодательства Российской Федерации о культуре"</t>
  </si>
  <si>
    <t>09.10.1992, не установлен</t>
  </si>
  <si>
    <t>Федеральный закон от 04.12.2007 N 329-ФЗ "О физической культуре и спорте в Российской Федерации"</t>
  </si>
  <si>
    <t>ст.9</t>
  </si>
  <si>
    <t>30.03.2008, не установлен</t>
  </si>
  <si>
    <t>Закон Томской области от 07.06.2010 N 94-ОЗ "О физической культуре и спорте в Томской области"</t>
  </si>
  <si>
    <t>27.06.2010, не установлен</t>
  </si>
  <si>
    <t>ст.19-1</t>
  </si>
  <si>
    <t>(499 710)</t>
  </si>
  <si>
    <t>(100 308)</t>
  </si>
  <si>
    <t>(100 300)</t>
  </si>
  <si>
    <t>(100 307)</t>
  </si>
  <si>
    <t>Решение Думы Колпашевского района от 19.11.2012 № 142 "Об утверждении Положения «О звании «Почётный гражданин Колпашевского района» (в редакции от 28.03.2017 № 17)</t>
  </si>
  <si>
    <t>Решение Думы Колпашевского района от 28.03.2017 № 15 "О финансировании расходов на обеспечение условий для развития физической культуры и массового спорта на территории Колпашевского района"</t>
  </si>
  <si>
    <t>Постановление Администрации Колпашевского района от 30.12.2014 № 1636 "Об утверждении Порядка организации библиотечного обслуживания населения сельских поселений Колпашевского района, комплектования и обеспечения сохранности библиотечных фондов библиотек сельских поселений Колпашевского района"</t>
  </si>
  <si>
    <t>17.06.2013, не установлен</t>
  </si>
  <si>
    <t>14.05.2015, не установлен</t>
  </si>
  <si>
    <t>(499 711)</t>
  </si>
  <si>
    <t>(100 314)</t>
  </si>
  <si>
    <t>(100 312)</t>
  </si>
  <si>
    <t>(100 311)</t>
  </si>
  <si>
    <t>23.05.2013, не установлен</t>
  </si>
  <si>
    <t>02.05.2017-20.12.2017</t>
  </si>
  <si>
    <t>(499 712)</t>
  </si>
  <si>
    <t>(499 713)</t>
  </si>
  <si>
    <t>(100 318)</t>
  </si>
  <si>
    <t>(100 319)</t>
  </si>
  <si>
    <t>(100 317)</t>
  </si>
  <si>
    <t>(100 316)</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</si>
  <si>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</si>
  <si>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(100 321)</t>
  </si>
  <si>
    <t>(499 714)</t>
  </si>
  <si>
    <t>(409 702)</t>
  </si>
  <si>
    <t>(100 322)</t>
  </si>
  <si>
    <t>Решение Думы Колпашевского района от 27.04.2017 № 28 "О финансировании расходов на организацию мероприятий, направленных на закрепление специалистов в отрасли культуры"</t>
  </si>
  <si>
    <t>27.04.2017, не установлен</t>
  </si>
  <si>
    <t>Решение думы Колпашевского района от 27.04.2017 № 27 "О финансировании за счет средств бюджета муниципального образования "Колпашевский район" расходов на поддержку и развитие Центров общественного доступа, расположенных в муниципальных учреждениях культуры муниципального образования "Колпашевский район"</t>
  </si>
  <si>
    <t>(499 715)</t>
  </si>
  <si>
    <t>(499 716)</t>
  </si>
  <si>
    <t>(100 336)</t>
  </si>
  <si>
    <t>(100 324)</t>
  </si>
  <si>
    <t>(100 326)</t>
  </si>
  <si>
    <t>(100 327)</t>
  </si>
  <si>
    <t>(100 329)</t>
  </si>
  <si>
    <t>(100 331)</t>
  </si>
  <si>
    <t>(100 332)</t>
  </si>
  <si>
    <t>(100 334)</t>
  </si>
  <si>
    <t>(100 338)</t>
  </si>
  <si>
    <t>0505</t>
  </si>
  <si>
    <t>01.01.2016- 31.12.2025</t>
  </si>
  <si>
    <t>(219 705)</t>
  </si>
  <si>
    <t>Решение Думы Колпашевского района от 27.07.2017 № 72 "О предоставлении бюджетам муниципальных образований: "Саровское сельское поселение", "Новогоренское сельское поселение", "Инкинское сельское поселение", "Новоселовское сельское поселение", иных межбюджетных трансфертов на проведение выборов депутатов представительных органов сельских поселений Колпашевского района"</t>
  </si>
  <si>
    <t>27.07.2017- 01.10.2017</t>
  </si>
  <si>
    <t>(100 341)</t>
  </si>
  <si>
    <t>(499 717)</t>
  </si>
  <si>
    <t>(499 718)</t>
  </si>
  <si>
    <t>Постановление Главы Колпашевского района от 13.09.2017 № 188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t>
  </si>
  <si>
    <t>13.09.2017- 18.12.2017</t>
  </si>
  <si>
    <t>Решение Думы Колпашевского района от 28.09.2017 № 80 "О финансировании расходов, связанных с осуществлением перевозок общественным транспортом обучающихся муниципальных общеобразовательных организаций Колпашевского района"</t>
  </si>
  <si>
    <t>28.09.2017- не установлен</t>
  </si>
  <si>
    <t>Решение Думы Колпашевского района от 17.06.2013 № 58 "О порядке использования средств бюджета муниципального образования "Колпашевский район" на финансирование мероприятий, направленных на создание условий по развитию туризма" (в редакции от 28.06.2016 № 55, от 28.09.2017 № 81)</t>
  </si>
  <si>
    <t>Решение Думы Колпашевского района от 28.09.2017 № 94 "О финансировании проведения полевых археологических работ (археологическая разведка)"</t>
  </si>
  <si>
    <t>28.09.2017, не установлен</t>
  </si>
  <si>
    <t>(499 719)</t>
  </si>
  <si>
    <t>Постановление Администрации Колпашевского района от 02.05.2017 № 398 "О порядке расходования средств субсидии из областного бюджета на реализацию мероприятия "Поддержка обустройства мест массового отдыха населения (городских парков)" подпрограммы "Обеспечение доступности и комфортности жилища, формирование качественной жилой среды" государственной программы "Обеспечение доступности жилья и улучшение качества жилищных условий населения Томской области" (в редакции от 15.05.2017 № 423, от 23.11.2017 № 1243)</t>
  </si>
  <si>
    <t>Постановление Администрации Томской области от 27.02.2008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</si>
  <si>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27.02.2008, не установлен</t>
  </si>
  <si>
    <t>Гл.3, ст.15, п.1, п.п.7</t>
  </si>
  <si>
    <t xml:space="preserve">01.09.2013, не указан </t>
  </si>
  <si>
    <t>Постановление Администрации Томской области от 24.06.2014 № 244а «О Порядке предоставления иных межбюджетных трансфертов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</si>
  <si>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24.06.2014, не установлен</t>
  </si>
  <si>
    <t>ст.40</t>
  </si>
  <si>
    <t xml:space="preserve"> 01.01.2009, не установлен</t>
  </si>
  <si>
    <t>Решение Думы Колпашевского района от 10.12.2005 № 35 "Об утверждении Положения о порядке официального опубликования (обнародования) муниципальных правовых актов и иной официальной информации" (в редакции от 27.10.2008 № 558, от 27.03.2009 № 624, от 30.01.2014 № 11, от 22.06.2015 № 62, от 28.09.2017 № 85)</t>
  </si>
  <si>
    <t>Постановление Правительства РФ от 17.12.2010 N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</si>
  <si>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01.01.2010 -31.12.2020</t>
  </si>
  <si>
    <t>01.07.2010, не установлен</t>
  </si>
  <si>
    <t>(100 313)</t>
  </si>
  <si>
    <t xml:space="preserve">Федеральный Закон от 06.10.2003 № 131-ФЗ "Об общих принципах организации местного самоуправления"
</t>
  </si>
  <si>
    <t xml:space="preserve">Ст. 15, п.1, пп.26
</t>
  </si>
  <si>
    <t xml:space="preserve">Ст. 15.1, п.1, пп.8
</t>
  </si>
  <si>
    <t>(100 305)</t>
  </si>
  <si>
    <t>(218 687)</t>
  </si>
  <si>
    <t>(213 587)</t>
  </si>
  <si>
    <t>01.01.2018, не установлен</t>
  </si>
  <si>
    <t>Решение Думы Колпашевского района от 25.11.2013 № 106 "О финансировании за счёт бюджета муниципального образования "Колпашевский район" мероприятий, направленных на поддержку решения жилищной проблемы молодых семей" (в редакции от 15.12.2014 № 157, от 30.05.2016 № 47, от 26.02.2018 № 6)</t>
  </si>
  <si>
    <t>25.11.2015, не установлен</t>
  </si>
  <si>
    <t>Постановление Администрации Колпашевского района от 30.06.2010 № 863 "Об установлении расходных обязательств  муниципального образования "Колпашевский район" по осуществлению отдельных государственных полномочий" (в редакции от 19.06.2012 № 577, от 13.02.2013 № 119)</t>
  </si>
  <si>
    <t>Постановление Администрации Колпашевского района от 20.03.2013 № 263 "О порядке расходования средств субсидии на организацию отдыха детей Колпашевского района в каникулярное время" (в редакции от 17.03.2014 № 233, от 23.05.2016 № 540, от 06.03.2018 № 177)</t>
  </si>
  <si>
    <t xml:space="preserve">1.Расходные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</si>
  <si>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</si>
  <si>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</si>
  <si>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</si>
  <si>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</si>
  <si>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</si>
  <si>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</si>
  <si>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(605)</t>
  </si>
  <si>
    <t>Наименование полномочия, 
расходного обязательства</t>
  </si>
  <si>
    <t>Правовое основание финансового обеспечения полномочия, расходного обязательства муниципального образования</t>
  </si>
  <si>
    <t>(225 655)</t>
  </si>
  <si>
    <t>(225 656)</t>
  </si>
  <si>
    <t>(206 604)</t>
  </si>
  <si>
    <t>25.03.2015, не установлен</t>
  </si>
  <si>
    <t>ст.15 п.1 пп.19</t>
  </si>
  <si>
    <t>ст.15 п.1 пп.1</t>
  </si>
  <si>
    <t>499 710</t>
  </si>
  <si>
    <t>499 713</t>
  </si>
  <si>
    <t>1201</t>
  </si>
  <si>
    <t>1206</t>
  </si>
  <si>
    <t>1307</t>
  </si>
  <si>
    <t>1034</t>
  </si>
  <si>
    <t>1021</t>
  </si>
  <si>
    <t>1202</t>
  </si>
  <si>
    <t>Постановление Администрации Колпашевского района от 16.05.2018 № 415 "О порядке использования средств муниципальной программы "Обеспечение безопасности населения Колпашевского района", предусмотренных на организацию видеонаблюдения в образовательных"</t>
  </si>
  <si>
    <t>16.05.2018- 20.12.2018</t>
  </si>
  <si>
    <t>Постановление Администрации Колпашевского района от 17.04.2018 № 343 "О порядке расходования средств субсидии из областного бюджета в 2018 году на поддержку экономического и социального развития коренных малочисленных народов Севера, Сибири и Дальнего Востока Российской Федерации"</t>
  </si>
  <si>
    <t>17.04.2018- 31.12.2018</t>
  </si>
  <si>
    <t>1023</t>
  </si>
  <si>
    <t>1026</t>
  </si>
  <si>
    <t>1801</t>
  </si>
  <si>
    <t>Постановление Главы Колпашевского района от 02.07.2018 № 120 "О порядке использования бюджетных ассигнований, выделенных бюджету муниципального образования "Колпашевский район" из резервного фонда финансирования непредвиденных расходов Администрации Томской области"</t>
  </si>
  <si>
    <t>02.07.2018- 29.12.2018</t>
  </si>
  <si>
    <t>Постановление Администрации Колпашевского района от 05.05.2012 № 425 "О порядке определения объёма и условия предоставления бюджетным и автономным учреждениям муниципального образования «Колпашевский район» субсидий на иные цели, источником финансирования которых является резервный фонд Администрации Колпашевского район"</t>
  </si>
  <si>
    <t>(100 325)</t>
  </si>
  <si>
    <t>(100 328)</t>
  </si>
  <si>
    <t>(100 337)</t>
  </si>
  <si>
    <t>(100 330)</t>
  </si>
  <si>
    <t>(414 681)</t>
  </si>
  <si>
    <t>(210 619)</t>
  </si>
  <si>
    <t>(210 620)</t>
  </si>
  <si>
    <t>(210 621)</t>
  </si>
  <si>
    <t>(203 603)</t>
  </si>
  <si>
    <t>Решение Думы Колпашевского района от 13.08.2014 № 82 "О размере, условиях и порядке предоставления компенсации расходов по оплате стоимости проезда и провоза багажа в пределах РФ к месту использования отпуска и обратно для лиц, работающих в органах местного самоуправления муниципального образования "Колпашевский район", в органах Администрации Колпашевского района и муниципальных учреждениях, финансируемых из бюджета муниципального образования "Колпашевский район", и о размере, условиях и порядке предоставления компенсации расходов по оплате стоимости проезда и провоза багажа в пределах РФ при переезде к новому месту жительства, в другую местность, за пределы Колпашевского района" (в редакции от 22.09.2014 № 89, от 27.10.2014 № 116, от 28.08.2018 № 63)</t>
  </si>
  <si>
    <t>Решение Думы Колпашевского района от 22.06.2015 № 59 "О софинансировании проектов по организации и проведению в 2015 году мероприятий, направленных на поддержку и развитие социального туризма" (в редакции решений от 25.04.2016 № 25, от 25.04.2016 № 25, от 28.08.2018 № 68)</t>
  </si>
  <si>
    <t>20.09.2018- 20.12.2018</t>
  </si>
  <si>
    <t>(100 340)</t>
  </si>
  <si>
    <t>(100 342)</t>
  </si>
  <si>
    <t>(218 596)</t>
  </si>
  <si>
    <t>18.09.2018, не установлен</t>
  </si>
  <si>
    <t>Постановление Администрации Колпашевского района от 19.09.2018 № 161 "О порядке использования бюджетных ассигнований, выделенных бюджету муниципального образования "Колпашевский район" из резервного фонда Администрации Томской области по ликвидации последствий стихийных бедствий и других чрезвычайных ситуаций"</t>
  </si>
  <si>
    <t>19.09.2018- 25.12.2018</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</si>
  <si>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пследствий черезвычайных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</si>
  <si>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12.08.2014, не установлен</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</si>
  <si>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</si>
  <si>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</si>
  <si>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1009</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</si>
  <si>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</si>
  <si>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</si>
  <si>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</si>
  <si>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</si>
  <si>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</si>
  <si>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1.1.1.16. организация мероприятий межпоселенческого характера по охране окружающей среды</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</si>
  <si>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</si>
  <si>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</si>
  <si>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1.1.1.19.организация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</si>
  <si>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</si>
  <si>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</si>
  <si>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</si>
  <si>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</si>
  <si>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</si>
  <si>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</si>
  <si>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1.1.1.27. формирование и содержание муниципального архива, включая хранение архивных фондов поселений</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</si>
  <si>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</si>
  <si>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</si>
  <si>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</si>
  <si>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</si>
  <si>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1044</t>
  </si>
  <si>
    <t>1.1.1.42. содействие развитию малого и среднего предпринимательства</t>
  </si>
  <si>
    <t>1045</t>
  </si>
  <si>
    <t>1.1.1.43. оказание поддержки социально ориентированным некоммерческим организациям, благотворительной деятельности и добровольчеству</t>
  </si>
  <si>
    <t>1046</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</si>
  <si>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</si>
  <si>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</si>
  <si>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</si>
  <si>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</si>
  <si>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</si>
  <si>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</si>
  <si>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</si>
  <si>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</si>
  <si>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</si>
  <si>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1.2.6. принятие устава муниципального образования и внесение в него изменений и дополнений, издание муниципальных правовых актов</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</si>
  <si>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</si>
  <si>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</si>
  <si>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</si>
  <si>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1.2.22. формирование и использование резервных фондов администраций муниципальных образований для финансирования непредвиденных расходов</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</si>
  <si>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</si>
  <si>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1.3.3.3. дополнительные меры социальной поддержки и социальной помощи для отдельных категорий граждан</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</si>
  <si>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</si>
  <si>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</si>
  <si>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оказание финансовой поддержки некоммерческим организациям</t>
  </si>
  <si>
    <t>1.3.4.2 исполнение судебных актов</t>
  </si>
  <si>
    <t>1.3.4.4.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</si>
  <si>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1.4.1. за счет субвенций, предоставленных из федерального бюджета, всего</t>
  </si>
  <si>
    <t>1703 (586)</t>
  </si>
  <si>
    <t>1.4.2. за счет субвенций, предоставленных из бюджета субъекта Российской Федерации, всего</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</si>
  <si>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</si>
  <si>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</si>
  <si>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 (568)</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</si>
  <si>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</si>
  <si>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 (562)</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</si>
  <si>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</si>
  <si>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 (701)</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</si>
  <si>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</si>
  <si>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</si>
  <si>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</si>
  <si>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</si>
  <si>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1.6.1. по предоставлению дотаций на выравнивание бюджетной обеспеченности городских, сельских поселений, всего</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</si>
  <si>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</si>
  <si>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1.6.3.1. на осуществление воинского учета на территориях, на которых отсутствуют структурные подразделения военных комиссариатов</t>
  </si>
  <si>
    <t>1.6.3.2.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</si>
  <si>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1.6.4. по предоставлению иных межбюджетных трансфертов, всего</t>
  </si>
  <si>
    <t>1.6.4.2. в  иных  случаях, не связанных с    заключением   соглашений, предусмотренных в подпункте  1.6.4.1., всего</t>
  </si>
  <si>
    <t xml:space="preserve">1.6.4.2.1. владение, пользование и распоряжение имуществом, находящимся в муниципальной собственности городского и сельского поселения
</t>
  </si>
  <si>
    <t>1.6.4.2.2. организация в границах городского и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</si>
  <si>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1.6.4.2.2.1. за счет средств бюджета Колпашевского района</t>
  </si>
  <si>
    <t>1.6.4.2.2.2. за счет средств областного бюджета</t>
  </si>
  <si>
    <t>1.6.4.2.2.2.1. Иные межбюджетные трансферты на компенсацию расходов по организации электроснабжения от дизельных электростанций за счет средств субсидии</t>
  </si>
  <si>
    <t>1.6.4.2.4. дорожная деятельность в отношении автомобильных дорог местного значения в границах населенных пунктов городского и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и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</si>
  <si>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1.6.4.2.5. обеспечение проживающих в городского и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</si>
  <si>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2305</t>
  </si>
  <si>
    <t>2307</t>
  </si>
  <si>
    <t>1.6.4.2.4.2. ИМБТ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t>
  </si>
  <si>
    <t>1.6.4.2.11.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</si>
  <si>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2311</t>
  </si>
  <si>
    <t>1.6.4.2.11.1 ИМБТ на организацию видионаблюдения в местах массового скопления людей</t>
  </si>
  <si>
    <t>1.6.4.2.13. участие в предупреждении и ликвидации последствий чрезвычайных ситуаций в границах городского и сельского поселения</t>
  </si>
  <si>
    <t>1.6.4.2.14. обеспечение первичных мер пожарной безопасности в границах населенных пунктов городского и сельского поселения</t>
  </si>
  <si>
    <t>1.6.4.2.15. создание условий для обеспечения жителей городского и сельского поселения услугами связи, общественного питания, торговли и бытового обслуживания</t>
  </si>
  <si>
    <t>1.6.4.2.20. обеспечение условий для развития на территории городского и сельского поселения физической культуры, школьного спорта и массового спорта</t>
  </si>
  <si>
    <t>1.6.4.2.21. организация проведения официальных физкультурно-оздоровительных и спортивных мероприятий городского и сельского поселения</t>
  </si>
  <si>
    <t>2321</t>
  </si>
  <si>
    <t>1.6.4.2.22. создание условий для массового отдыха жителей городского и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</si>
  <si>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2322 (653, 654)</t>
  </si>
  <si>
    <t>1.6.4.2.26. организация благоустройства территории городского 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</si>
  <si>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1.6.4.2.26.1. за счет местного бюджета</t>
  </si>
  <si>
    <t>1.6.4.2.26.2. за счет средств областного бюджета</t>
  </si>
  <si>
    <t>1.6.4.2.26.2.1. Субсидия из областного бюджета бюджетам муниципальных образований Томской области на поддержку муниципальных программ формирования современной городской среды (за счет средств областного бюджета)</t>
  </si>
  <si>
    <t>1.6.4.2.26.2.2. Субсидия из областного бюджета бюджетам муниципальных образований Томской области на поддержку муниципальных программ формирования современной городской среды (за счет средств федерального бюджета)</t>
  </si>
  <si>
    <t>1.6.4.2.29. утверждение генеральных планов городского и сельского поселения, правил землепользования и застройки, утверждение подготовленной на основе генеральных планов городского и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и сельского поселения, утверждение местных нормативов градостроительного проектирования городского и сельского поселений, резервирование земель и изъятие земельных участков в границах городского и сельского поселения для муниципальных нужд, осуществление муниципального земельного контроля в границах городского и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</si>
  <si>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1.6.4.2.36. содействие в развитии сельскохозяйственного производства в сфере животноводства с учетом рыболовства и рыбоводства содействие в развитии сельскохозяйственного производства в сфере растениеводства</t>
  </si>
  <si>
    <t>1.6.4.2.39. организация и осуществление мероприятий по работе с детьми и молодежью в городском поселении</t>
  </si>
  <si>
    <t>1.6.4.2.48.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</si>
  <si>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2348 (100 323)</t>
  </si>
  <si>
    <t>1.6.4.2.49. создание условий для развития туризма</t>
  </si>
  <si>
    <t>1.6.4.2.50. обеспечение сбалансированности бюджетов городских и сельских поселений</t>
  </si>
  <si>
    <t>2350</t>
  </si>
  <si>
    <t>1.6.4.2.52. исполнение судебных актов</t>
  </si>
  <si>
    <t>1.1.1.17.1. Создание условий для реализации образовательных программ дошкольного образования, присмотра и ухода</t>
  </si>
  <si>
    <t>1.1.1.17.2. МП "Обеспечение безопасности  населения Колпашевского района"</t>
  </si>
  <si>
    <t>1.1.1.17.3.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</si>
  <si>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1.1.1.18.2. компенсация расходов на питание обучающимся общеобразовательных учреждений</t>
  </si>
  <si>
    <t>1.1.2.18. организация библиотечного обслуживания населения, комплектование и обеспечение сохранности библиотечных фондов библиотек  поселения</t>
  </si>
  <si>
    <t>1.1.2.19. создание условий для организации досуга и обеспечения жителей  поселения услугами организаций культуры</t>
  </si>
  <si>
    <t>1.4.1.11. на выплату единовременного пособия при всех формах устройства детей, лишенных родительского попечения, в семью</t>
  </si>
  <si>
    <t>1712 (312 663)</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</si>
  <si>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</si>
  <si>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</si>
  <si>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2003 (309 572) (309 592)</t>
  </si>
  <si>
    <t>(310 580)</t>
  </si>
  <si>
    <t>(312 551) (323 554)</t>
  </si>
  <si>
    <t>(311 606 312 556)</t>
  </si>
  <si>
    <t>(303 558)</t>
  </si>
  <si>
    <t>(304 581)</t>
  </si>
  <si>
    <t>(313 553)</t>
  </si>
  <si>
    <t>(305 557)</t>
  </si>
  <si>
    <t>(312 562)</t>
  </si>
  <si>
    <t>Решение Думы Колпашевского района от 14.07.2006 № 180 "Об утверждении Положения о создании условий для предоставления транспортных услуг населению и организации транспортного обслуживания населению по маршрутам между поселениями в границах МО "Колпашевский район" (в редакции от 29.11.2006 № 237, от 27.04.2007 № 320, от 15.05.2008 № 477, от 08.09.2008 № 539, от 23.04.2012 № 75, от 10.09.2012 №120, от 21.12.2015 № 56, от 28.03.2017 № 56, от 28.03.2017 № 92, от 28.08.2018 № 78, от 28.11.2018 № 102)</t>
  </si>
  <si>
    <t>Постановление Администрации Колпашевского района от 10.12.2015 № 1257 "Об утверждении муниципальной программы "Обеспечение безопасности населения Колпашевского района" (в редакции от 11.07.2016 № 768, от 09.09.2016 № 1050, от 05.10.2016 № 1122, от 21.11.2016 № 1276, от 15.03.2017 № 216, от 31.01.2018 № 65, от 16.05.2018 № 414)</t>
  </si>
  <si>
    <t xml:space="preserve">ст. 9, ст. 40 </t>
  </si>
  <si>
    <t>1.1.1.18.1. Создание условий для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t>
  </si>
  <si>
    <t>(210 598, 210 599)</t>
  </si>
  <si>
    <t>(100 345)</t>
  </si>
  <si>
    <t>(100 346)</t>
  </si>
  <si>
    <t>1.6.4.2.2.2.2. Субсидия на реализацию государственной программы "Повышение энергоэффективности в Томской области" по объекту "Газораспределительные сети г.Колпашево и с.Тогур Колпашевского района Томской области. 7 очередь"</t>
  </si>
  <si>
    <t>1.6.4.2.5.1. Иные межбюджетные трансферты на ремонт муниципального жилья</t>
  </si>
  <si>
    <t>1.6.4.2.13.1. МБТ из резервного фонда финансирования непредвиденных расходов Администрации Томской области (в соответствии с распоряжением АТО от 17.04.2018 № 242-ра)</t>
  </si>
  <si>
    <t>1.6.4.2.13.2. МБТ из резервного фонда финансирования непредвиденных расходов Администрации Томской области (в соответствии с распоряжением АТО от 11.09.2018 № 600-ра)</t>
  </si>
  <si>
    <t>2336 (100 344)</t>
  </si>
  <si>
    <t>1221</t>
  </si>
  <si>
    <t>1149</t>
  </si>
  <si>
    <t>1213</t>
  </si>
  <si>
    <t>1222</t>
  </si>
  <si>
    <t>1029</t>
  </si>
  <si>
    <t>1208</t>
  </si>
  <si>
    <t>1601</t>
  </si>
  <si>
    <t>1603</t>
  </si>
  <si>
    <t>1604</t>
  </si>
  <si>
    <t>1040</t>
  </si>
  <si>
    <t>1041</t>
  </si>
  <si>
    <t>1019</t>
  </si>
  <si>
    <t>1068</t>
  </si>
  <si>
    <t>1119</t>
  </si>
  <si>
    <t>1047</t>
  </si>
  <si>
    <t>1802</t>
  </si>
  <si>
    <t>1703</t>
  </si>
  <si>
    <t>1805</t>
  </si>
  <si>
    <t>1854</t>
  </si>
  <si>
    <t>1722</t>
  </si>
  <si>
    <t>1821</t>
  </si>
  <si>
    <t>2003</t>
  </si>
  <si>
    <t>1896</t>
  </si>
  <si>
    <t>1838</t>
  </si>
  <si>
    <t>1712</t>
  </si>
  <si>
    <t>2301</t>
  </si>
  <si>
    <t>2104</t>
  </si>
  <si>
    <t>2313</t>
  </si>
  <si>
    <t>2336</t>
  </si>
  <si>
    <t>2304</t>
  </si>
  <si>
    <t>2315</t>
  </si>
  <si>
    <t>0410</t>
  </si>
  <si>
    <t>2302</t>
  </si>
  <si>
    <t>2326</t>
  </si>
  <si>
    <t>2105</t>
  </si>
  <si>
    <t>2352</t>
  </si>
  <si>
    <t>2320</t>
  </si>
  <si>
    <t>2101</t>
  </si>
  <si>
    <t>1204</t>
  </si>
  <si>
    <t>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t>
  </si>
  <si>
    <t>ст. 20</t>
  </si>
  <si>
    <t>01.10.2011, не установлен</t>
  </si>
  <si>
    <t>Закон РФ от 19.02.1993 г. N 4520-I "О государственных гарантиях и компенсациях для лиц, работающих и проживающих в районах Крайнего Севера и приравненных к ним местностях"</t>
  </si>
  <si>
    <t>ст. 33, ст. 35</t>
  </si>
  <si>
    <t>01.06.1993, не установлен</t>
  </si>
  <si>
    <t>Закон Томской области от 14.05.2005 N 78-ОЗ "О гарантиях и компенсациях для лиц, проживающих в местностях, приравненных к районам Крайнего Севера"</t>
  </si>
  <si>
    <t>ст. 4, ст.5</t>
  </si>
  <si>
    <t>гл. 8 Положения</t>
  </si>
  <si>
    <t>1.1.1.38.1. обеспечение безопасности гидротехнических сооружений</t>
  </si>
  <si>
    <t>Федеральный закон от 21.12.1994 N 68-ФЗ "О защите населения и территорий от чрезвычайных ситуаций природного и техногенного характера"</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</si>
  <si>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чрезвычайных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</si>
  <si>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п. 3</t>
  </si>
  <si>
    <t>1.1.1.39.1. мроприятия в области сельскохозяйственного производства</t>
  </si>
  <si>
    <t xml:space="preserve">Постановление Главы Колпашевского района от 19.09.2008 № 850 "Об утверждении Положения о конкурсе "Лучший предпринимательский проект "стартующего бизнеса" в муниципальном образовании "Колпашевский район" 
(в редакции постановлений Главы Колпашевского района от 27.01.2009 № 29, от 27.08.2009 № 869, от 18.12.2009 № 1352, постановлений Администрации Колпашевского района от 21.04.2010 № 591, от 28.10.2011 № 1124, от 17.04.2012 № 367, от 06.08.2012  № 765, от 19.11.2012 № 1146, от 10.12.2012 № 1235, от 28.06.2013 № 623, от 27.09.2013 № 1027, от 05.02.2014 № 95, от 10.11.2014 № 1294, от 09.11.2015 № 1129, от 30.05.2016 № 594, от 29.11.2018 № 1292)
</t>
  </si>
  <si>
    <t>01.01.2019- 31.12.2024</t>
  </si>
  <si>
    <t>19.06.2018, не установлен</t>
  </si>
  <si>
    <t>ст. 2</t>
  </si>
  <si>
    <t>ст. 17, п.1, п.п.8.1; ст.34, п.9</t>
  </si>
  <si>
    <t xml:space="preserve">Решение Думы Колпашевского района от 18.10.2005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
 </t>
  </si>
  <si>
    <t>п. 3.2.</t>
  </si>
  <si>
    <t>ст.10</t>
  </si>
  <si>
    <t>ст.2</t>
  </si>
  <si>
    <t>Решение Думы Колпашевского района от 18.10.2005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</si>
  <si>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Гл.3, ст.17, п. 1., п.п. 8.1</t>
  </si>
  <si>
    <t>01.06.2013, не установлен</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</si>
  <si>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t>
  </si>
  <si>
    <t>(306 555)</t>
  </si>
  <si>
    <t>(306 690)</t>
  </si>
  <si>
    <t>ст. 4</t>
  </si>
  <si>
    <t>Постановление Администрации Колпашевского района от 20.09.2018 № 1006 "О порядке использования средств межбюджетного трансферта, выделенного из бюджета Томской области по итогам проведения областного ежегодного конкурса на лучшее муниципальное образование Томской области по профилактике правонарушений" (в редакции от 24.12.2018 № 1426, от 26.12.2018 № 1448)</t>
  </si>
  <si>
    <t>Постановление Администрации Томской области от 06.09.2013 N 367а "О Порядке предоставления иных межбюджетных трансфертов на организацию системы выявления, сопровождения одаренных детей"</t>
  </si>
  <si>
    <t>06.09.2013, не установлен</t>
  </si>
  <si>
    <t>Закон Томской области от 28 декабря 2010 г. N 336-ОЗ "О предоставлении межбюджетных трансфертов"</t>
  </si>
  <si>
    <t>абз.8, п.1, ст.1</t>
  </si>
  <si>
    <t>Постановление Губернатора Томской области от 10.02.2012 N 13 "Об учреждении ежемесячной стипендии Губернатора Томской области молодым учителям областных государственных и муниципальных образовательных организаций Томской области"</t>
  </si>
  <si>
    <t>Решение Думы Колпашевского района от 18.03.2011 № 23 "Об организации проведения районных мероприятий и обеспечении участия в мероприятиях регионального, межрегионального, федерального уровней в сфере образования" (в редакции от 16.12.2011 № 167, от 17.06.2013 № 56, от 28.05.2014 № 51, от 02.11.2015 № 6, от 30.05.2016 № 41, от 24.11.2016 № 112, от 16.02.2017 № 3)</t>
  </si>
  <si>
    <t xml:space="preserve"> ст. 9, ст. 40</t>
  </si>
  <si>
    <t>Решение Думы Колпашевского района от 15.12.2014 № 136 "О финансировании за счёт средств бюджета муниципального образования "Колпашевский район" мероприятий по содержанию комплекса спортивных сооружений муниципального автономного образовательного учреждения дополнительного образования детей "Детско-юношеская спортивная школа имени О. Рахматулиной"</t>
  </si>
  <si>
    <t>Федеральный Закон от 29.12.2012 № 273-ФЗ "Об образовании в РФ"</t>
  </si>
  <si>
    <t>Гл. 12, ст. 89, п. 3</t>
  </si>
  <si>
    <t>Решение Думы Колпашевского района от 15.12.2014 № 135 "О финансировании за счёт средств бюджета муниципального образования "Колпашевский район" мер социальной поддержки в виде компенсации расходов по оплате стоимости проезда к месту учебы и обратно для гражданина, заключившего договор о целевом обучении с муниципальной образовательной организацией Колпашевского района" (в редакции от 31.07.2015 № 68, от 28.08.2018 № 67)</t>
  </si>
  <si>
    <t>ст. 4, п. 5</t>
  </si>
  <si>
    <t>ст.2, ст.4</t>
  </si>
  <si>
    <t>1.1.1.18.3. организация системы выявления, сопровождения одаренных детей</t>
  </si>
  <si>
    <t>1.1.1.18.4. стипендии Губернатора Томской области лучшим учителям МОУ Томской области</t>
  </si>
  <si>
    <t>1.1.1.18.5. стипендии Губернатора Томской области молодым учителям МОУ Томской области</t>
  </si>
  <si>
    <t xml:space="preserve">1.1.1.19.1. Создание условий для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 </t>
  </si>
  <si>
    <t>1.1.1.19.2. компенсация расходов на питание обучающимся общеобразовательных учреждений</t>
  </si>
  <si>
    <t>1.1.1.19.3. стипендии Губернатора Томской области молодым учителям МОУ Томской области</t>
  </si>
  <si>
    <t>1.1.1.20.1. организация предоставления дополнительного образования на территории муниципального района</t>
  </si>
  <si>
    <t>1.1.1.20.2. стимулирующие выплаты работникам организаций дополнительного образования</t>
  </si>
  <si>
    <t>1.1.1.20.3. повышение заработной платы педагогических работников муниципальных учреждений дополнительного образования детей</t>
  </si>
  <si>
    <t>1.1.1.32.1. обеспечение деятельности учреждений культуры и мероприятия в области культуры</t>
  </si>
  <si>
    <t>1.1.1.32.2. субсидии местным бюджетам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муниципальных учреждений  культуры и муниципальных учреждений в сфере архивного дела"</t>
  </si>
  <si>
    <t>1.1.1.32.3. субсидии местным бюджетам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</si>
  <si>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1.1.1.44.1. обеспечение условий для развитие физической культуры  и массового спорта</t>
  </si>
  <si>
    <t>1.1.1.44.3. субсидиии местным бюджетам на обеспечение условий для развития физической культуры и массового спорта</t>
  </si>
  <si>
    <t>1.6.4.2.11.2. 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t>
  </si>
  <si>
    <t>1.6.4.2.20.1. субсидии местным бюджетам на обеспечение условий для развития физической культуры и массового спорта</t>
  </si>
  <si>
    <t>Закон Томской области от 13.06.2007 № 112-ОЗ "О реализации государственной политики в сфере культуры и искусства на территории Томской области"</t>
  </si>
  <si>
    <t>п.п.6 п.5 Порядка</t>
  </si>
  <si>
    <t>Постановление Администрации Колпашевского района от 21.03.2016 № 278 "Об утверждении муниципальной программы "Развитие культуры и туризма в Колпашевском районе" (в редакции от 04.04.2016 № 336, от 01.06.2016 № 610, от 04.10.2016 № 1112, от 15.11.2016 № 1253, от 14.12.2016 № 1361, от 30.12.2016 № 1448, от 10.03.2017 № 192, от 29.12.2017 № 1381, от 18.05.2018 № 431)</t>
  </si>
  <si>
    <t>Гл.3, ст.15, п.1,  п.п. 19</t>
  </si>
  <si>
    <t>Федеральный закон от 29 декабря 1994 г. N 78-ФЗ "О библиотечном деле"</t>
  </si>
  <si>
    <t>ст. 15, п. 2</t>
  </si>
  <si>
    <t>ст.24</t>
  </si>
  <si>
    <t>09.10.1997, не установлен</t>
  </si>
  <si>
    <t>Закон Томской области от 09.10.1997 "О библиотечном деле и обязательном экземпляре документов в Томской области"</t>
  </si>
  <si>
    <t>ст.15 п.1 пп.19.1</t>
  </si>
  <si>
    <t>прил.1 к особенностям</t>
  </si>
  <si>
    <t>ст. 5</t>
  </si>
  <si>
    <t>п. 1 абз. 3</t>
  </si>
  <si>
    <t>Постановление Администрации Колпашевского района от 29.06.2010 № 846 "Об установлении расходных обязательств по осуществлению отдельных государственных полномочий по регулированию тарифов на перевозки пассажиров и багажа всеми видами общественного траснпорта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(в редакции от 14.01.2016 № 9)</t>
  </si>
  <si>
    <t xml:space="preserve">Закон Томской области от 13.08.2007 N 170-ОЗ "О межбюджетных отношениях в Томской области" </t>
  </si>
  <si>
    <t>ст. 8,  п. 2, п.п. 1</t>
  </si>
  <si>
    <t>Постановление Администрации Колпашевского района от 24.09.2012 № 942 "О порядке расходования средств межбюджетных трансфертов на выплату стипендии Губернатора Томской области лучшим учителям муниципальных образовательных учреждений Томской области, перечисленных в бюджет муниципального образования "Колпашевский район" в соответствии с постановлением Администрации Томской области от 20.08.2012 № 316 а" (в редакции от 20.03.2013 № 262, от 05.10.2016 № 1121)</t>
  </si>
  <si>
    <t>Постановление Администрации Колпашевского района от 10.12.2015 № 1257 "Об утверждении муниципальной программы "Обеспечение безопасности населения Колпашевского района" (в редакции от 11.07.2016 № 768, от 09.09.2016 № 1050, от 05.10.2016 № 1122, от 21.11.2016 № 1276, от 15.03.2017 № 216, от 31.01.2018 № 65, от 16.05.2018 № 414 )</t>
  </si>
  <si>
    <t>(100 304)</t>
  </si>
  <si>
    <t>(201 579)</t>
  </si>
  <si>
    <t>1027</t>
  </si>
  <si>
    <t>2103</t>
  </si>
  <si>
    <t>2329</t>
  </si>
  <si>
    <t>1725</t>
  </si>
  <si>
    <t>(224 545)</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</si>
  <si>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</si>
  <si>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 (213 542)</t>
  </si>
  <si>
    <t>(208 543)</t>
  </si>
  <si>
    <t>30.01.2019- 15.03.2019</t>
  </si>
  <si>
    <t>06.02.2019- 20.12.2019</t>
  </si>
  <si>
    <t>Решение Думы Колпашевского районат от 06.02.2019 № 4 "О предоставлении иных межбюджетных трансфертов бюджету муниципального образования "Колпашевское городское поселение" на выполнение мероприятий по благоустройству населенных пунктов"</t>
  </si>
  <si>
    <t>Решение думы Колпашевского района от 06.02.2019 № 6 "О предоставлении иных межбюджетных трансфертов бюджету муниципального образования "Чажемтовское сельское поселение" на выполнение работ по координатному описанию границ населенных пунктов Чажемтовского сельского поселения"</t>
  </si>
  <si>
    <t>06.02.2019- 23.12.2019</t>
  </si>
  <si>
    <t>Решение думы Колпашевского района от 06.02.2019 № 9 "О предоставлении иных межбюджетных трансфертов бюджету муниципального образования "Новоселовское сельское поселение" на выполнение работ по координатному описанию границ населенных пунктов Новоселовского сельского поселения"</t>
  </si>
  <si>
    <t>(206 546, 206 547)</t>
  </si>
  <si>
    <t>(100 310)</t>
  </si>
  <si>
    <t>1.6.4.2.4.3. Субсидия из областного бюджета на выполнение полномочий органов местного самоуправления по осуществлению дорожной деятельности в части капитального ремонта и (или) ремонта автомобильных дорог общего пользования местного значения в границах муниципального образования (в том числе на обустройство пешеходных переходов в соответствии с национальными стандартами и ремонт пешеходных дорожек) в рамках государственной программы "Развитие транспортной системы в Томской области"</t>
  </si>
  <si>
    <t>(499 801) (802)</t>
  </si>
  <si>
    <t>Постановление Главы Колпашевского района от 19.02.2019 № 32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04.02.2019 № 8-р-в)</t>
  </si>
  <si>
    <t>19.02.2019- 01.12.2019</t>
  </si>
  <si>
    <t>Постановление Главы Колпашевского района от 25.02.2019 № 37 "О порядке расходования бюджетных ассигнований резервного фонда финансирования непредвиденных расходов Администрации Томской области"</t>
  </si>
  <si>
    <t>25.02.2019- 31.12.2019</t>
  </si>
  <si>
    <t>Решение Думы Колпашевского района от 28.06.2016 № 59 "Об утверждении Положения о порядке финансирования расходов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муниципальных общеобразовательных организациях муниципального образования "Колпашевский район" за счёт средств бюджета муниципального образования "Колпашевский район" (в редакции от 19.12.2016 № 125, от 28.02.2019)</t>
  </si>
  <si>
    <t>Решение Думы Колпашевского района от 28.06.2016 № 59 "Об утверждении Положения о порядке финансирования расходов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муниципальных общеобразовательных организациях муниципального образования "Колпашевский район" за счёт средств бюджета муниципального образования "Колпашевский район" (в редакции от 19.12.2016 № 125, от 28.02.2019 № 18)</t>
  </si>
  <si>
    <t>Решение Думы Колпашевского района от 28.02.2019 № 19 "О мерах по реализации постановления Администрации Томской области от 24 октября 2018 г. N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t>
  </si>
  <si>
    <t>01.01.2019, не установлен</t>
  </si>
  <si>
    <t>28.02.2019- 23.12.2019</t>
  </si>
  <si>
    <t>Решение Думы Колпашевского района от 28.02.2019 № 21 "О предоставлении иных межбюджетных трансфертов бюджету муниципального образования "Колпашевское городское поселение" на строительство объекта: "Газораспределительные сети г.Колпашево и с.Тогур Колпашевского района Томской области, 7 очередь"</t>
  </si>
  <si>
    <t>28.02.2019- 22.12.2019</t>
  </si>
  <si>
    <t>Решение Думы Колпашевского района от 28.02.2019 № 22 "О предоставлении иных межбюджетных трансфертов бюджету муниципального образования "Колпашевское городское поселение" на выполнение работ по разработке дизайн-проектов общественных территорий"</t>
  </si>
  <si>
    <t>28.02.2019- 01.12.2019</t>
  </si>
  <si>
    <t>Постановление Главы Колпашевского района от 25.03.2019 № 54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t>
  </si>
  <si>
    <t>(215 541)</t>
  </si>
  <si>
    <t>(209 533)</t>
  </si>
  <si>
    <t>1.1.1.18.7. Субсидия из бюджета Томской области бюджету муниципального образования "Колпашевский район"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</si>
  <si>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(209 530)</t>
  </si>
  <si>
    <t>(209 531)</t>
  </si>
  <si>
    <t>(209 532)</t>
  </si>
  <si>
    <t>1.1.1.18.6. Субсидия из бюджета Томской области бюджету муниципального образования "Колпашевский район" на обновление материально-технической базы для формирования у обучающихся современных технологических и гуманитарных навыков</t>
  </si>
  <si>
    <t>(215 538)</t>
  </si>
  <si>
    <t>(215 537)</t>
  </si>
  <si>
    <t>499 712</t>
  </si>
  <si>
    <t>(206 536)</t>
  </si>
  <si>
    <t>(206 548)</t>
  </si>
  <si>
    <t>(206 534)</t>
  </si>
  <si>
    <t>(206 535)</t>
  </si>
  <si>
    <t>(206 546)</t>
  </si>
  <si>
    <t>(206 547)</t>
  </si>
  <si>
    <t>1.4.2.98.на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</si>
  <si>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(309 701)</t>
  </si>
  <si>
    <t>1898 (309 572)</t>
  </si>
  <si>
    <t>1828 (312 552)</t>
  </si>
  <si>
    <t>1.6.4.2.2.2.3. Субсидия из областного бюджета на реализацию мероприятий подпрограммы "Развитие и модернизация коммунальной инфраструктуры Томской области" государственной программы "Развитие коммунальной и коммуникационной инфраструктуры в Томской области" по проведению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</si>
  <si>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1.6.4.2.26.2.3. МБТ из резервного фонда финансирования непредвиденных расходов Администрации Томской области (в соответствии с распоряжением АТО от 01.03.2019 № 43- р-в)</t>
  </si>
  <si>
    <t>1.6.4.2.15.2. Субсидия на реализацию проекта "Обустройство сквера с детской игровой площадкой в с. Тогур, Колпашевского района, Томской области" в рамках государственной программы "Развитие сельского хозяйства и регулируемых рынков в Томской области"</t>
  </si>
  <si>
    <t>1898</t>
  </si>
  <si>
    <t>1828</t>
  </si>
  <si>
    <t>2317</t>
  </si>
  <si>
    <t>1.1.1.19.4. стипендии Губернатора Томской области лучшим учителям МОУ Томской области</t>
  </si>
  <si>
    <t>1.1.1.19.5. Субсидия из бюджета Томской области бюджету муниципального образования "Колпашевский район" на обновление материально-технической базы для формирования у обучающихся современных технологических и гуманитарных навыков</t>
  </si>
  <si>
    <t>1.1.1.19.6. Субсидия из бюджета Томской области бюджету муниципального образования "Колпашевский район" на внедрение целевой модели цифровой образовательной среды в общеобразовательных организациях и профессиональных образовательных организациях</t>
  </si>
  <si>
    <t>1.1.1.19.7. МП "Обеспечение безопасности  населения Колпашевского района"</t>
  </si>
  <si>
    <t>1.1.1.19.8. МП "Развитие муниципальной системы образования в Колпашевском районе"</t>
  </si>
  <si>
    <t>1.1.1.19.9. Субсидия на разработку проектно- сметной документации на строительство муниципальных общеобразовательных организаций в рамках государственной программы "Содействие созданию в Томской области новых мест в общеобразовательных организациях"</t>
  </si>
  <si>
    <t>1.6.4.2.17. создание условий для организации досуга и обеспечения жителей городского и сельского поселения услугами организаций культуры</t>
  </si>
  <si>
    <t>26.03.2019- 01.12.2019</t>
  </si>
  <si>
    <t>Постановление Главы Колпашевского района от 04.04.2019 № 62 "О порядке расходования средств бюджетных ассигнований резервного фонда финансирования непредвиденных расходов Администрации Томской области на выполнение работ по ремонту детских игровых площадок и на приобретение детской спортивно-игровой площадки для установки по адресу: г. Колпашево, мкр Геолог, д.4"</t>
  </si>
  <si>
    <t>04.04.2019- 24.12.2019</t>
  </si>
  <si>
    <t>Постановление Администрации Колпашевского района от 11.04.2019 № 356 "О распределении средств иных межбюджетных трансфертов на поощрение поселенческих команд, участвовавших в XII зимней межпоселенческой спартакиаде в с. Инкино, из бюджета муниципального образования "Колпашевский район" в 2019 году"</t>
  </si>
  <si>
    <t>11.04.2019- 23.08.2019</t>
  </si>
  <si>
    <t>13.12.2013- 31.12.2019</t>
  </si>
  <si>
    <t>Решение Думы Колпашевского района от 27.11.2015 № 37 "О финансировании расходов  на создание условий, обеспечивающих приток педагогических кадров в муниципальную систему образования Колпашевского района" (в редакции от 31.05.2018 № 34, от 28.08.2018 № 65, от 24.04.2019 № 38)</t>
  </si>
  <si>
    <t>Решение Думы Колпашевского района от 24.04.2019 № 43 "О предоставлении иных межбюджетных трансфертов бюджету муниципального образования "Новоселовское сельское поселение" на выполнение мероприятий по благоустройству населенных пунктов"</t>
  </si>
  <si>
    <t>24.04.2019- 30.08.2019</t>
  </si>
  <si>
    <t>Решение Думы Колпашевского района от 28.02.2019 "О предоставлении иных межбюджетных трансфертов бюджету муниципального образования "Колпашевское городское поселение" на благоустройство общественных территорий" (в редакции от 24.04.2019 № 45)</t>
  </si>
  <si>
    <t>24.04.2019- 20.12.2019</t>
  </si>
  <si>
    <t>29.04.2019- 28.11.2019</t>
  </si>
  <si>
    <t>Постановление Администрации Колпашевского района от 29.04.2019 № 430 "О порядке использования средств субсидии из областного бюджета на обеспечение жителей отдаленных населенных пунктов Томской области услугами связи в рамках государственной программы "Развитие коммунальной и коммуникационной инфраструктуры в Томской области"</t>
  </si>
  <si>
    <t>Постановление Администрации Колпашевского района от 30.01.2019 № 69 "О предоставлении иных межбюджетных трансфертов бюджету муниципального образования "Инкинское сельское поселение" на подготовку спортивных сооружений к проведению межпоселенческой спартакиады в с. Инкино" (в редакции от 14.05.2019 № 464)</t>
  </si>
  <si>
    <t>17.05.2019- 31.12.2019</t>
  </si>
  <si>
    <t>23.05.2019- 31.12.2019</t>
  </si>
  <si>
    <t>Постановление Администрации Колпашевского района от 23.05.2019 № 519 "О порядке расходования средств субсидии из бюджета Томской области на обновление материально-технической базы для формирования у обучающихся современных технологических и гуманитарных навыков"</t>
  </si>
  <si>
    <t>Постановление Администрации Колпашевского района от 24.05.2019 № 536 "О порядке расходования средств субсидии из областного бюджета на реализацию государственной программы "Повышение энергоэффективности в Томской области" по объекту "Газораспределительные сети г.Колпашево и с.Тогур Колпашевского района Томской области. 7 очередь"</t>
  </si>
  <si>
    <t>24.05.2019- 31.12.2019</t>
  </si>
  <si>
    <t>Постановление Администрации Колпашевского района от 23.05.2019 № 520 "О порядке расходования средств субсидии местным бюджетам на софинансирование капитальных вложений в объекты муниципальной собственности в сфере обращения с твёрдыми коммунальными отходами в рамках государственной программы "Воспроизводство и использование природных ресурсов Томской области" (в редакции от 24.05.2019 № 539)</t>
  </si>
  <si>
    <t>Постановление Администрации Колпашевского района от 24.05.2013 № 488 "О порядке расходования средств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учреждений" (в редакции от 18.09.2014 № 972, от 23.06.2015 № 605, от 16.09.2015 № 944, от 21.12.2015 № 1343, от 04.03.2016 № 231, от 28.03.2016 № 318, от 27.04.2017 № 370, от 18.06.2018 № 538, от 29.05.2019 № 556)</t>
  </si>
  <si>
    <t>Постановление Админи страции Колпашевского района от 17.05.2019 № 82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09.04.2019 № 88-р-в)</t>
  </si>
  <si>
    <t>Постановление главы Колпашевского района от 26.03.2019 № 56 "О порядке расходования средств бюджетных ассигнований резервного фонда финансирования непредвиденных расходов Администрации Томской области" (в соответствии с распоряжением АТО от 01.03.2019 № 43- р-в)</t>
  </si>
  <si>
    <t>Постановление Главы Колпашевского района от 07.05.2019 № 75 "О порядке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09.04.2019 № 88-р-в)</t>
  </si>
  <si>
    <t>07.05.2019- 31.12.2019</t>
  </si>
  <si>
    <t>Постановление Главы Колпашевского района от 21.03.2019 № 52 "О порядке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01.03.2019 № 43-р-в)</t>
  </si>
  <si>
    <t>21.03.2019- 31.12.2019</t>
  </si>
  <si>
    <t>(221 521)</t>
  </si>
  <si>
    <t>(410 539)</t>
  </si>
  <si>
    <t>1.6.4.2.31. организация ритуальных услуг и содержание мест захоронения</t>
  </si>
  <si>
    <t>2331</t>
  </si>
  <si>
    <t>(221 520)</t>
  </si>
  <si>
    <t>(221 522)</t>
  </si>
  <si>
    <t>(100 343) (100 315)</t>
  </si>
  <si>
    <t>31.05.2019- 01.12.2019</t>
  </si>
  <si>
    <t>Постановление Главы Колпашевского района от 31.05.2019 № 87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07.05.2019 № 124-р-в)</t>
  </si>
  <si>
    <t>Решение Думы Колпашевского района от 03.06.2019 № 54 "О предоставлении иных межбюджетных трансфертов бюджету муниципального образования "Инкинское сельское поселение" на ремонт оборудования котельной с.Копыловка"</t>
  </si>
  <si>
    <t>03.06.2019- 20.12.2019</t>
  </si>
  <si>
    <t>Решение Думы Колпашевского района от 03.06.2019 № 56 "О предоставлении иных межбюджетных трансфертов бюджету муниципального образования "Колпашевское городское поселение" на ремонт ограждения станции обезжелезивания по адресу: г.Колпашево, ул.Кирова, 114"</t>
  </si>
  <si>
    <t>Решение Думы Колпашевского района от 03.06.2019 № 57 "О предоставлении иных межбюджетных трансфертов бюджету муниципального образования "Колпашевское городское поселение" на организацию транспортного обслуживания населения внутренним водным транспортом в 2019 году"</t>
  </si>
  <si>
    <t>03.06.2019- 12.12.2019</t>
  </si>
  <si>
    <t>24.04.2019- 21.11.2019</t>
  </si>
  <si>
    <t>Постановление Главы Колпашевского района от 04.06.2019 № 89 "О порядке расходования средств бюджетных ассигнований резервного фонда финансирования непредвиденных расходов Администрации Томской области на модернизацию уличного освещения, приобретение материалов для ограждения кладбища в п. Большая Саровка"</t>
  </si>
  <si>
    <t>04.06.2019- 24.12.2019</t>
  </si>
  <si>
    <t>Постановление Администрации Колпашевского района от 17.06.2019 № 644 "О порядке расходования средств субсидий местным бюджетам из областного бюджета для оказания поддержки муниципальных программ развития малого и среднего предпринимательства"</t>
  </si>
  <si>
    <t>17.06.2019- 31.12.2019</t>
  </si>
  <si>
    <t>21.06.2019- 20.12.2019</t>
  </si>
  <si>
    <t>Постановление главы Колпашевского района от 03.06.2019 № 88 "О порядке расходования бюджетных ассигнований резервного фонда финансирования непредвиденных расходов Администрации Томской области" (распоряжение АТО от 07.05.2019 № 124-р-в)</t>
  </si>
  <si>
    <t>03.06.2019- 16.09.2019</t>
  </si>
  <si>
    <t>05.06.2019- 20.12.2019</t>
  </si>
  <si>
    <t>Постановление Администрации Колпашевского района от 13.06.2019 № 637 "О порядке расходования средств иного межбюджетного трансферта на создание виртуальных концертных залов по результатам конкурсного отбора, проводимого Министерством культуры Российской Федерации"</t>
  </si>
  <si>
    <t>13.06.2019- 31.12.2019</t>
  </si>
  <si>
    <t>Постановление Администрации Колпашевского района от 17.06.2019 № 641 "О порядке использования средств субсидии из областного бюджета на организацию транспортного обслуживания населения Колпашевского района внутренним водным транспортом в границах муниципального района, в рамках подпрограммы "Развитие пассажирских перевозок на территории Томской области" государственной программы "Развитие транспортной системы в Томской области"</t>
  </si>
  <si>
    <t>17.06.2019- 12.12.2019</t>
  </si>
  <si>
    <t>Постановление Администрации Колпашевского района от 25.06.2019 № 673 "О порядке расходования средств субсидии из областного бюджета бюджетам муниципальных образований Томской области на мероприятия по улучшению жилищных условий граждан, проживающих в сельской местности, в том числе молодых семей и молодых специалистов, осуществляемые в сельской местности, в которой реализуются инвестиционные проекты в сфере агропромышленного комплекса"</t>
  </si>
  <si>
    <t>(217 801)</t>
  </si>
  <si>
    <t>1.1.1.18.8. Субсидия на внедрение и функционирование целевой модели цифровой образовательной среды в общеобразовательных организациях</t>
  </si>
  <si>
    <t>(209 524)</t>
  </si>
  <si>
    <t>1.1.1.19.10. Субсидия на внедрение и функционирование целевой модели цифровой образовательной среды в общеобразовательных организациях</t>
  </si>
  <si>
    <t>1.1.1.20.6. Субсидия на внедрение целевой модели развития региональных систем дополнительного образования детей</t>
  </si>
  <si>
    <t>(209 523)</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</si>
  <si>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</si>
  <si>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1.6.4.2.18. сохранение, использование и популяризация объектов культурного наследия (памятников истории и культуры), находящихся в собственности городского 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и сельского поселения</t>
  </si>
  <si>
    <t>2318</t>
  </si>
  <si>
    <t>(208 526)</t>
  </si>
  <si>
    <t>(208 525)</t>
  </si>
  <si>
    <t>(208 591) (208 527)</t>
  </si>
  <si>
    <t>(100 333)</t>
  </si>
  <si>
    <t>(Д)</t>
  </si>
  <si>
    <t>(соф)</t>
  </si>
  <si>
    <t>03.07.2019- 02.09.2019</t>
  </si>
  <si>
    <t>31.07.2019, не установлен</t>
  </si>
  <si>
    <t>Решение Думы Колпашевского района от 31.07.2015 № 69 "О размере, условиях и порядке предоставления компенсации расходов, связанных с переездом, лицам, заключившим трудовые договоры о работе в органах местного самоуправления муниципального образования «Колпашевский район», муниципальных учреждениях, финансируемых из бюджета муниципального образования «Колпашевский  район», и прибывшим в соответствии с этими договорами из других регионов Российской Федерации" (в редакции от 04.07.2019 № 63)</t>
  </si>
  <si>
    <t>Решение Думы Колпашевского района от 04.07.2019 № 64 "О предоставлении иных межбюджетных трансфертов на проведение ремонта, капитального ремонта и благоустройства воинских захоронений, мемориальных комплексов, памятников воинам, погибшим в годы Великой Отечественной войны 1941-1945 годов"</t>
  </si>
  <si>
    <t xml:space="preserve">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t>
  </si>
  <si>
    <t>Решение Думы Колпашевского района от 04.07.2019 № 68 "О предоставлении иных межбюджетных трансфертов бюджету муниципального образования "Новогоренское сельское поселение" на выполнение комплекса кадастровых работ по выделу земельной доли, находящейся в собственности муниципального образования "Новогоренское сельское поселение" в границах САО "Петропавловское"</t>
  </si>
  <si>
    <t>04.07.2019- 20.12.2019</t>
  </si>
  <si>
    <t>Решение Думы Колпашевского района от 04.07.2019 № 69 "О предоставлении иных межбюджетных трансфертов бюджету муниципального образования "Новогоренское сельское поселение" на выполнение комплекса кадастровых работ по образованию и межеванию границ земельного участка для размещения кладбища"</t>
  </si>
  <si>
    <t>Решение Думы Колпашевского района от 04.07.2019 № 73 "О предоставлении иных межбюджетных трансфертов бюджету муниципального образования "Колпашевское городское поселение" на обустройство площадок для временного накопления твердых коммунальных отходов"</t>
  </si>
  <si>
    <t>1.6.4.2.24. участие в организации деятельности по сбору (в том числе раздельному сбору) и транспортированию твердых коммунальных отходов</t>
  </si>
  <si>
    <t>Решение Думы Колпашевского района от 04.07.2019 № 74 "О предоставлении иных межбюджетных трансфертов бюджету муниципального образования "Саровское сельское поселение" на организацию водоснабжения в с.Новоильинка"</t>
  </si>
  <si>
    <t>Решение Думы Колпашевского района от 04.07.2019 № 75 "О предоставлении иных межбюджетных трансфертов бюджету муниципального образования "Новогоренское сельское поселение" на проектирование зоны санитарной охраны источника водоснабжения"</t>
  </si>
  <si>
    <t>Решение Думы Колпашевского района от 04.07.2019 № 77 "О предоставлении иных межбюджетных трансфертов бюджету муниципального образования "Новоселовское сельское поселение" на ремонт оборудования котельной в п.Дальнее"</t>
  </si>
  <si>
    <t>Решение Думы Колпашевского района от 04.07.2019 № 78 "О предоставлении иных межбюджетных трансфертов бюджету муниципального образования "Новоселовское сельское поселение" на организацию уличного освещения"</t>
  </si>
  <si>
    <t>04.07.2019- 20.12.2020</t>
  </si>
  <si>
    <t>Решение Думы Колпашевского района от 04.07.2019 № 79 "О предоставлении иных межбюджетных трансфертов бюджету муниципального образования "Колпашевское городское поселение" на выполнение мероприятий по благоустройству населенных пунктов"</t>
  </si>
  <si>
    <t>Решение Думы Колпашевского района от 04.07.2019 № 81 "О предоставлении иных межбюджетных трансфертов бюджету муниципального образования "Колпашевское городское поселение" на грантовую поддержку местных инициатив граждан, проживающих в сельской местности"</t>
  </si>
  <si>
    <t>Постановление Администрации Колпашевского района от 21.06.2019 № 668 "О порядке расходования средств субсидии на софинансирование расходных обязательств по решению вопросов местного значения, возникающих в связи с реализацией проектов, предложенных непосредственно населением Инкинского сельского поселения, входящего в состав Колпашевского района Томской области, победившего в конкурсном отборе" (в редакции от 10.07.2019 № 738)</t>
  </si>
  <si>
    <t>Постановление Администрации Колпашевского района от 21.06.2019 № 669 "О порядке расходования средств субсидии на софинансирование расходных обязательств по решению вопросов местного значения, возникающих в связи с реализацией проектов, предложенных непосредственно населением Колпашевского городского поселения, входящего в состав Колпашевского района Томской области, победившего в конкурсном отборе" (в редакции от 10.07.2019 № 739)</t>
  </si>
  <si>
    <t>15.07.2019- 31.12.2019</t>
  </si>
  <si>
    <t>Постановление Администрации Колпашевского района от 16.07.2019 № 757 "О порядке расходования средств субсидии на софинансирование расходных обязательств по решению вопросов местного значения, возникающих в связи с реализацией проектов, предложенных непосредственно населением Инкинского сельского поселения, входящего в состав Колпашевского района Томской области, победившего в конкурсном отборе"</t>
  </si>
  <si>
    <t>16.07.2019- 20.12.2019</t>
  </si>
  <si>
    <t>Постановление Администрации Колпашевского района от 16.07.2019 № 758 "О порядке расходования средств субсидии на оснащение объектов спортивной инфраструктуры спортивно-технологическим оборудованием"</t>
  </si>
  <si>
    <t>16.07.2019- 31.12.2019</t>
  </si>
  <si>
    <t>Постановление Администрации Колпашевского района от 22.11.2018 № 1261 "Об утверждении Порядка организации регулярных перевозок автомобильным транспортом в границах одного сельского поселения, в границах двух и более поселений муниципального образования "Колпашевский район"</t>
  </si>
  <si>
    <t>22.11.2018, не установлен</t>
  </si>
  <si>
    <t>Постановление Администрации Колпашевского района от 18.07.2019 № 772 "Об утверждении Положения об организации отдыха детей в каникулярное время на территории муниципального образования "Колпашевский район"</t>
  </si>
  <si>
    <t>раздел IV Положения</t>
  </si>
  <si>
    <t>18.07.2019, не установлен</t>
  </si>
  <si>
    <t>Постановление Администрации Колпашевского района от  26.07.2019 № 812 "Об утверждении Положения о порядке предоставления субсидии на возмещение затрат, связанных с приобретением специализированной техники для транспортирования твёрдых коммунальных отходов в границах муниципального образования "Колпашевский район"</t>
  </si>
  <si>
    <t>26.07.2019- 31.12.2019</t>
  </si>
  <si>
    <t>Постановление Администрации Колпашевского района от 06.08.2019 № 861 "О порядке расходования средств субсидии на грантовую поддержку местных инициатив граждан, проживающих в сельской местности"</t>
  </si>
  <si>
    <t>06.08.2019- 20.12.2019</t>
  </si>
  <si>
    <t>Постановление Администрации Колпашевского района от 06.08.2019 № 862 "О порядке расходования средств субсидии на грантовую поддержку местных инициатив граждан, проживающих в сельской местности"</t>
  </si>
  <si>
    <t>Постановление Администрации Колпашевского района от 30.06.2010 № 851 "Об установлении расходных обязательств по осуществлению отдельных государственных полномочий, переданных в соответствие с п.5 ст.1 Закона Томской области от 15.12.2004 № 246-ОЗ" (в редакции от 13.03.2014 № 221, от 14.08.2019 № 928)</t>
  </si>
  <si>
    <t>Постановление Администрации Колпашевского района от 23.05.2012 № 496 "Об утверждении Порядка финансирования официальных физкультурно-оздоровительных и спортивных мероприятий муниципального образования "Колпашевский район" (в редакции постановлений Администрации Колпашевского района от 23.07.2012 № 702, от 31.08.2012 № 859, от 28.03.2013 № 292, от 03.07.2013 № 632, от 18.07.2013 № 711, от 23.08.2013 № 866, от 16.09. 2013 № 974, от 25.10.2013 № 1138, от 06.02.2014 №104, от 23.06.2014 № 585; от 06.10.2014 № 1145; от 04.03.2015 № 268; от 14.04.2015 № 407, от 12.11.2015 № 1147, от 12.04.2016 №372, от 10.08.2016 № 888, от 21.06.2017 № 584, от 05.04.2018 № 294, от 21.08.2019 № 945)</t>
  </si>
  <si>
    <t>Решение Думы Колпашевского района от 04.07.2019 № 80 "О предоставлении иных межбюджетных трансфертов бюджетам муниципальных образований Колпашевского района на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муниципального образования "Колпашевский район" в 2019 году" (в редакции от 26.08.2019 № 92)</t>
  </si>
  <si>
    <t>26.08.2019- 20.12.2019</t>
  </si>
  <si>
    <t>Решение думы Колпашевского района от 06.02.2019 № 5 "О предоставлении иных межбюджетных трансфертов бюджету муниципального образования "Колпашевское городское поселение" на проектирование объекта: "Газораспределительные сети г.Колпашево и с.Тогур Колпашевского района Томской области, VIII очередь. 1 этап" (в редакции от 27.03.2019 № 33, от 26.08.2019 № 94)</t>
  </si>
  <si>
    <t>Постановление Администрации Колпашевского района от 27.08.2019 № 966 "О порядке расходования средств субсидии из областного бюджета на приобретение спортивного инвентаря и оборудования для спортивных школ"</t>
  </si>
  <si>
    <t>1.1.1.44.2. Субсидия на приобретение спортивного инвентаря и оборудования для спортивных школ</t>
  </si>
  <si>
    <t>27.08.2019- 31.12.2019</t>
  </si>
  <si>
    <t>Постановление Администрации Колпашевского района от 27.08.2019 № 968 "О порядке расходования средств субсидии из областного бюджета бюджету муниципального образования "Колпашевский район" на оборудование муниципальных полигонов средствами измерения массы твердых коммунальных отходов в рамках государственной программы "Воспроизводство и использование природных ресурсов Томской области"</t>
  </si>
  <si>
    <t>Постановление Администрации Колпашевского района от 04.09.2019 № 1001 "О порядке расходования средств субсидии из областного бюджета на внедрение целевой модели развития региональных систем дополнительного образования детей"</t>
  </si>
  <si>
    <t>04.09.2019- 31.12.2019</t>
  </si>
  <si>
    <t>11.09.2019- 31.12.2019</t>
  </si>
  <si>
    <t>Постановление Главы Колпашевского района от 26.07.2019 № 117 "О порядке расходования бюджетных ассигнований резервного фонда финансирования непредвиденных расходов Администрации Томской области" (распоряжение АТО от 15.07.2019 № 213-р-в)</t>
  </si>
  <si>
    <t>01.07.2019, не установлен</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</si>
  <si>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</si>
  <si>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1.6.2.47.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</si>
  <si>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2349 (100 339)</t>
  </si>
  <si>
    <t>1036</t>
  </si>
  <si>
    <t>29.08.2019- 21.11.2019</t>
  </si>
  <si>
    <t>Постановление администрации Колпашевского района от 29.08.2019 № 981 "О предоставлении иных межбюджетных трансфертов бюджету муниципального образования "Колпашевское городское поселение" на организацию и проведение районных конкурсов, соревнований, слётов, фестивалей в сфере туризма" (в редакции от 16.09.2019 № 1052)</t>
  </si>
  <si>
    <t>Постановление Администрации Колпашевского района от 12.08.2014 № 791 "Об утверждении нормативов финансовых затрат на капитальный ремонт, ремонт, содержание автомобильных дорог общего пользования местного значения вне границ населенных пунктов в границах муниципального образования "Колпашевский район" и правил расчета размера ассигнований бюджета муниципального образования "Колпашевский район" на указанные цели" (в редакции от 18.09.2017 № 945, от 03.10.2018 № 1052, от 16.09.2019 № 1055)</t>
  </si>
  <si>
    <t>Постановление Администрации Колпашевскеого района от 20.09.2019 № 161 "О порядке расходования бюджетных ассигнований резервного фонда финансирования непредвиденных расходов Администрации Томской области" (распоряжение АТО от 13.09.2019 № 288-р-в)</t>
  </si>
  <si>
    <t>20.09.2019- 01.12.2019</t>
  </si>
  <si>
    <t>Решение Думы Колпашевского района от 25.09.2019 № 100 "О предоставлении иных межбюджетных трансфертов бюджетам поселений Колпашевского района на выполнение мероприятий по актуализации и корректировке схем теплоснабжения, водоснабжения, водоотведения"</t>
  </si>
  <si>
    <t>25.09.2019- 23.12.2019</t>
  </si>
  <si>
    <t>Решение Думы Колпашевского района от 24.04.2019 № 44 "О предоставлении иных межбюджетных трансфертов бюджетам поселений Колпашевского района на приобретение контейнеров для сбора твердых коммунальных отходов" (в редакции от 03.06.2019 № 58, от 25.09.2019 № 101)</t>
  </si>
  <si>
    <t>Решение Думы Колпашевского района от 04.07.2019 № 71 "О предоставлении иных межбюджетных трансфертов бюджету муниципального образования "Колпашевское городское поселение" на выполнение мероприятий по благоустройству населенных пунктов" (в редакции от 25.09.2019 № 102)</t>
  </si>
  <si>
    <t>04.07.2019- 23.12.2019</t>
  </si>
  <si>
    <t>Постановление Администрации Колпашевского района от 27.09.2019 № 1091 "О предоставлении средств иных межбюджетных трансфертов на награждение сельского поселения, победителя районной сельскохозяйственной ярмарки "Дары осени", из бюджета муниципального образования "Колпашевский район" в 2019 году"</t>
  </si>
  <si>
    <t>27.09.2019- 30.11.2019</t>
  </si>
  <si>
    <t>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t>
  </si>
  <si>
    <t>13.07.2010, не установлен</t>
  </si>
  <si>
    <t>Постановление Администрации Колпашевского района от 10.10.2019 № 1151 "О порядке расходования средств субсидии из областного бюджета Томской области, а также средств бюджета муниципального образования "Колпашевский район" на государственную поддержку отрасли культуры в 2019 году"</t>
  </si>
  <si>
    <t>10.10.2019- 31.12.2019</t>
  </si>
  <si>
    <t>1854 (691)</t>
  </si>
  <si>
    <t>1.6.4.2.4.1. ИМБТ на ремонт автомобильных дорог общего пользования местного значения в границах населенных пунктов поселений Колпашевского района</t>
  </si>
  <si>
    <t>Решение думы Колпашевского района от 06.02.2019 № 11 "О предоставлении иных межбюджетных трансфертов бюджету муниципального образования "Колпашевское городское поселение" на выполнение работ по координатному описанию границ населенных пунктов Колпашевского городского поселения" (в редакции от 23.10.2019 № 113)</t>
  </si>
  <si>
    <t>Решение Думы Колпашевского района от 23.10.2019 № 114 "О предоставлении иных межбюджетных трансфертов бюджету муниципального образования "Чажемтовское сельское поселение" на ремонт сетей водоснабжения в с. Чажемто"</t>
  </si>
  <si>
    <t>23.10.2019- 23.12.2019</t>
  </si>
  <si>
    <t>26.02.2019- 17.12.2019</t>
  </si>
  <si>
    <t>Постановление Администрации Колпашевского района от 23.05.2019 № 518 "О порядке расходования средств субсидии из бюджета Томской области на внедрение целевой модели цифровой образовательной среды в общеобразовательных организациях и профессиональных образовательных организациях" (в редакции от 12.11.2019 № 1251)</t>
  </si>
  <si>
    <t>25.11.2019- 31.12.2019</t>
  </si>
  <si>
    <t>(100 309)</t>
  </si>
  <si>
    <t>Решение Думы Колпашевского района от 25.11.2019 № 127 "О предоставлении иных межбюджетных трансфертов бюджету муниципального образования "Колпашевское городское поселение" на выполнение работ по созданию концепции сквера, расположенного по адресу: Томская область, г. Колпашево, ул. Кирова, 28, для оформления заявки на конкурс "Малые города"</t>
  </si>
  <si>
    <t>Постановление Администрации Колпашевского района от 03.07.2019 № 713 "О предоставлении иных межбюджетных трансфертов бюджету муниципального образования "Новогоренское сельское поселение" на подготовку спортивных сооружений к проведению межпоселенческой спартакиады в д. Новогорное" (в редакции от 20.11.2019 № 1295)</t>
  </si>
  <si>
    <t>Решение Думы Колпашевского района от 16.07.2012 № 91 "Об утверждении Порядка предоставления дотаций на выравнивание бюджетной обеспеченности поселений из бюджета муниципального образования «Колпашевский район» (в редакции от 25.11.2019 № 121)</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</si>
  <si>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расширения рынка сельскохозяйственной продукции, сырья продовольствия" (в редакции от 27.11.2015 № 44, от 25.11.2019 № 124)</t>
  </si>
  <si>
    <t>Решение Думы Колпашевского района от 04.07.2019 № 76 "О предоставлении иных межбюджетных трансфертов бюджету муниципального образования "Чажемтовское сельское поселение" на ремонт теплотрассы и ремонт оборудования котельной с.Чажемто" (в редакции от 23.10.2019 № 115, от 25.11.2019 № 125)</t>
  </si>
  <si>
    <t>Решение Думы Колпашевского района от 26.08.2019 № 93 "О предоставлении иных межбюджетных трансфертов бюджету муниципального образования "Чажемтовское сельское поселение" на ремонт муниципального жилья" (в редакции от 23.10.2019 № 116, от 25.11.2019 № 126)</t>
  </si>
  <si>
    <t xml:space="preserve">1.6.4.2.7.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водного транспорта) </t>
  </si>
  <si>
    <t>04.07.2019- 20.11.2019</t>
  </si>
  <si>
    <t xml:space="preserve">Решение Думы Колпашевского района от 23.04.2012 № 67 "О порядке использования средств бюджета муниципального образования «Колпашевский район» на реализацию мероприятий по созданию условий для обеспечения поселений, входящих в состав Колпашевского района, услугами по организации досуга и услугами организаций культуры" (в редакции от 25.11.2013 № 105, от 22.09.2014 № 92, от 15.12.2014 № 153, от 25.03.2015 № 27, от 07.09.2015 № 82, от 27.11.2015 № 38, от 30.05.2016 № 48, от 20.10.2016 № 97, от 25.11.2019 № 132)
</t>
  </si>
  <si>
    <t>Решение Думы Колпашевского района от 28.04.2014 № 42 "О финансировании расходов на создание условий для оказания медицинской помощи населению на территории Колпашевского района" (в редакции от 22.09.2014 № 90, от 15.12.2014 № 159, от 02.11.2015 № 8, от 29.01.2016 № 3, от 29.02.2016 № 10, от 27.04.2017 № 29, от 18.12.2018 № 121, от 25.11.2019 № 133)</t>
  </si>
  <si>
    <t>Постановление Главы Колпашевского района от 28.11.2019 № 221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15.11.2019 № 362-р-в)</t>
  </si>
  <si>
    <t>28.11.2019- 25.12.2019</t>
  </si>
  <si>
    <t>Постановление Администрации Колпашевского района от 06.05.2019 № 448 "О порядке распределения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(в редакции от 29.11.2019 № 1340)</t>
  </si>
  <si>
    <t>Постановление Администрации Колпашевскогго района от 16.04.2015 № 417 "О порядке распределения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(в редакции от 08.09.2015 № 900, от 10.02.2016 № 104, от 11.01.2017 № 3, от13.12.2017 № 1319, от 02.04.2018 № 281, 20.12.2018 № 1408, от 29.11.2019 № 1341)</t>
  </si>
  <si>
    <t>08.08.2019- 25.12.2019</t>
  </si>
  <si>
    <t>Постановление Главы Колпашевского района от 08.08.2019 № 122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 (приобретение хоккейного корта) (в редакции от 11.12.2019 № 230)</t>
  </si>
  <si>
    <t>Постановление Администрации Колпашевского района от 10.10.2019 № 1152 "О распределении средств иных межбюджетных трансфертов на поощрение поселенческих команд, участвовавших в XIV летней межпоселенческой спартакиаде в д. Новогорное, из бюджета муниципального образования "Колпашевский район" в 2019 году" (в редакции от 11.12.2019 № 1396)</t>
  </si>
  <si>
    <t>10.10.2019- 25.12.2019</t>
  </si>
  <si>
    <t>Постановление Главы Колпашевского района от 31.10.2019 № 207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11.10.2019 № 319-р-в)</t>
  </si>
  <si>
    <t>31.10.2019- 15.12.2019</t>
  </si>
  <si>
    <t>(210 519)</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</si>
  <si>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</si>
  <si>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Постановление Администрации Колпашевского района от 05.06.2019 № 596 "О порядке расходования в 2019 году средств субсидии из областного бюджета на обеспечение устойчивого развития сельских территорий" (в редакции от 11.12.2019 № 1398)</t>
  </si>
  <si>
    <t>Решение Думы Колпашевского района от 03.06.2019 № 55 "О предоставлении иных межбюджетных трансфертов бюджету муниципального образования "Колпашевское городское поселение" на ремонт сетей водоснабжения г.Колпашево и с.Тогур" (в редакции от 12.12.2019 № 135)</t>
  </si>
  <si>
    <t>Решение Думы Колпашевского района от 25.11.2019 № 128 "О предоставлении иных межбюджетных трансфертов бюджету муниципального образования "Колпашевское городское поселение" на организацию теплоснабжения населения" (в редакции от 12.12.2019)</t>
  </si>
  <si>
    <t>Решение Думы Колпашевского района от 28.02.2019 № 23 "О предоставлении иных межбюджетных трансфертов бюджету муниципального образования "Колпашевское городское поселение" на организацию теплоснабжения населения в границах муниципального образования "Колпашевское городское поселение" (в редакции от 26.08.2019 № 96, от 12.12.2019 № 137)</t>
  </si>
  <si>
    <t>Постановление Администрации Колпашевского района от 16.12.2019 № 1423 "О порядке расходования в 2019 году средств субсидии на реализацию мероприятия "Строительство объекта "Здание МБОУ "Саровская СОШ" на 110 мест в п. Большая Саровка Колпашевского района" (Разработка ПСД)" государственной программы "Содействие созданию в Томской области новых мест в общеобразовательных организациях"</t>
  </si>
  <si>
    <t>16.12.2019- 31.12.2019</t>
  </si>
  <si>
    <t>Решение Думы Колпашевского района от 28.02.2019 № 24 "О предоставлении иных межбюджетных трансфертов бюджетам поселений Колпашевского района на ремонт автомобильных дорог общего пользования местного значения в границах населенных пунктов поселений Колпашевского района" (в редакции от 04.07.2019 № 82, от 23.10.2019 № 117, от 18.12.2019 № 147)</t>
  </si>
  <si>
    <t>28.02.2019- 20.12.2019</t>
  </si>
  <si>
    <t>Решение думы Колпашевского района от 26.08.2019 № 95 "О предоставлении иных межбюджетных трансфертов бюджету муниципального образования "Колпашевское городское поселение" на приобретение и установку приборов учёта холодной и горячей воды" (в редакции от 18.12.2019 № 148)</t>
  </si>
  <si>
    <t>Решение Думы Колпашевского района от 03.06.2019 № 59 "О предоставлении иных межбюджетных трансфертов бюджету муниципального образования "Колпашевское городское поселение" на благоустройство территории по ул.Кирова, 43/1 (устройство городской детской - спортивной площадки)" (в редакции от 04.07.2019 № 72, от 25.09.2019 № 103, от 18.12.2019 № 149)</t>
  </si>
  <si>
    <t>Постановление Администрации Колпашевского района от 29.04.2019 № 427 "О порядке использования средств субсидии из областного бюджета на реализацию мероприятий подпрограммы "Развитие и модернизация коммунальной инфраструктуры Томской области" государственной программы "Развитие коммунальной и коммуникационной инфраструктуры в Томской области" по проведению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 (в редакции от 12.09.2019 № 1042, от 03.12.2019 № 1369, от 20.12.2019 № 1460)</t>
  </si>
  <si>
    <t>25.03.2019- 25.12.2019</t>
  </si>
  <si>
    <t>Постановление Администрации Колпашевского района от 22.08.2019 № 949 "О порядке использования средств субсидии из областного бюджета на создание мест (площадок) накопления твердых коммунальных отходов в рамках государственной программы "Воспроизводство и использование природных ресурсов Томской области" (в редакции от 30.10.2019 № 1208, от 23.12.2019 № 1471)</t>
  </si>
  <si>
    <t>22.08.2019- 31.12.2019</t>
  </si>
  <si>
    <t>Постановление Администрации Колпашевского района от 11.09.2019 № 1036 "О порядке расходования средств субсидии из областного бюджета на внедрение и функционирование целевой модели цифровой образовательной среды в общеобразовательных организациях" (в редакции от 23.12.2019 № 1472)</t>
  </si>
  <si>
    <t>Постановление Администрации Колпашевского района от 24.12.2019 № 1479 "Об утверждении Положения о порядке предоставления субсидии на возмещение затрат в связи с выполнением работ, оказанием услуг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Колпашевского района"</t>
  </si>
  <si>
    <t>24.12.2019- 31.12.2019</t>
  </si>
  <si>
    <t>Постановление администрации Колпашевского района от 24.12.2019 № 1480 "О порядке использования иных межбюджетных трансфертов из областного бюджета бюджетам муниципальных образований Томской области на поощрение муниципальных управленческих команд"</t>
  </si>
  <si>
    <t>24.12.2019- 30.12.2019</t>
  </si>
  <si>
    <t>Постановление Администрации Колпашевского района от 26.02.2019 № 191 "О порядке расходования средств субсидии на обеспечение условий для развития физической культуры и массового спорта" (в редакции от 05.12.2019 № 1377, от 25.12.2019 № 1481)</t>
  </si>
  <si>
    <t>26.02.2019- 27.12.2019</t>
  </si>
  <si>
    <t>Постановление Администрации Колпашевского района от 26.07.2019 № 818 "О порядке расходования средств субсидии на софинансирование реализации проектов, отобранных по итогам проведения конкурса проектов по организации и проведению в 2019 году мероприятий, направленных на поддержку развития социального туризма в рамках реализации государственной программы "Развитие культуры и туризма в Томской области" (в редакции от 10.01.2020 № 4)</t>
  </si>
  <si>
    <t>Постановление Администрации Колпашевского района от 19.12.2019 № 1453 "О предоставлении субсидии на осуществление капитальных вложений в объекты капитального строительства муниципальной собственности и объекты недвижимого имущества, приобретаемые в муниципальную собственность"</t>
  </si>
  <si>
    <t>19.12.2019- 23.12.2019</t>
  </si>
  <si>
    <t>текущий 2020 год</t>
  </si>
  <si>
    <t>очередной 2021 год</t>
  </si>
  <si>
    <t>2022 год</t>
  </si>
  <si>
    <t>0705</t>
  </si>
  <si>
    <t>1219</t>
  </si>
  <si>
    <t>2347</t>
  </si>
  <si>
    <t>2349</t>
  </si>
  <si>
    <t>2324</t>
  </si>
  <si>
    <t>Решение Думы Колпашевского района от 25.11.2019 № 130 "О предоставлении иных межбюджетных трансфертов бюджету муниципального образования "Колпашевское городское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 в 2020 году"</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</si>
  <si>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t>
  </si>
  <si>
    <t>1.1.1.20.4. МП "Обеспечение безопасности  населения Колпашевского района"</t>
  </si>
  <si>
    <t>1.1.1.20.5. МП "Развитие муниципальной системы образования в Колпашевском районе"</t>
  </si>
  <si>
    <t xml:space="preserve">1.1.1.20.7. расходы за счет резервных фондов Администрации Томской области </t>
  </si>
  <si>
    <t>1.1.1.32.4. Иные межбюджетные трансферты на создание виртуальных концертных залов по результатам конкурсного отбора, проводимого Министрерством культуры Российской Федерации</t>
  </si>
  <si>
    <t>1.1.1.32.5. Субсидия бюджетам муниципальных образований на разработку проектной документации на строительство объектов муниципальной собственности в сфере культуры</t>
  </si>
  <si>
    <t>1.1.1.32.6. межбюджетные трансферты из резервного фонда финансирования непредвиденных расходов Администрации Томской области</t>
  </si>
  <si>
    <t>1.4.1.2. по составлению (изменению) списков кандидатов в присяжные заседатели федеральных судов общей юрисдикции в РФ</t>
  </si>
  <si>
    <t>(311 556)</t>
  </si>
  <si>
    <t>(312 562) (311 556)</t>
  </si>
  <si>
    <t>1.6.2.2.1.1. Иные межбюджетные трансферты на проектирование объекта: "Газораспределительные сети г.Колпашево и с.Тогур Колпашевского района Томской области, VIII очередь. 1 этап"</t>
  </si>
  <si>
    <t>1.6.2.2.1.2. Иные межбюджетные трансферты на строительство объекта: "Газораспределительные сети г.Колпашево и с.Тогур Колпашевского района Томской области, 7 очередь"</t>
  </si>
  <si>
    <t>1.6.2.2.1.3. Иные межбюджетные трансферты на организацию теплоснабжения населения в границах муниципального образования "Колпашевское городское поселение"</t>
  </si>
  <si>
    <t>1.6.2.2.1.4. Иные межбюджетные трансферты на ремонт оборудования котельной с. Копыловка</t>
  </si>
  <si>
    <t>1.6.2.2.1.5. Иные межбюджетные трансферты на ремонт ограждения станции обезжелезивания по адресу г.Колпашево, ул.Кирова, 114</t>
  </si>
  <si>
    <t>1.6.2.2.1.6. Иные межбюджетные трансферты на ремонт сетей водоснабжения г.Колпашево и с.Тогур</t>
  </si>
  <si>
    <t>1.6.2.2.1.7. Иные межбюджетные трансферты на проектирование зоны санитарной охраны источника водоснабжения</t>
  </si>
  <si>
    <t>1.6.2.2.1.8. Иные межбюджетные трансферты на организацию водоснабжения с. Новоильинка</t>
  </si>
  <si>
    <t>1.6.2.2.1.9. Иные межбюджетные трансферты на ремонт оборудования котельной в п. Дальнее</t>
  </si>
  <si>
    <t>1.6.2.2.1.10. Иные межбюджетные трансферты на ремонт теплотрассы и ремонт оборудования котельной с.Чажемто</t>
  </si>
  <si>
    <t>1.6.2.2.1.11. Иные межбюджетные трансферты на приобретение и установку приборов учета холодной и горячей воды</t>
  </si>
  <si>
    <t>1.6.2.2.1.12. Иные межбюджетные трансферты на выполнение меропрятий по актуализации и корректироке схем теплоснабжения, водоснабжения, водоотведения</t>
  </si>
  <si>
    <t>1.6.2.2.1.13. Иные межбюджетные трансферты на ремонт сетей водоснабжения в с. Чажемто</t>
  </si>
  <si>
    <t xml:space="preserve">1.6.2.2.1.14. Иные межбюджетные трансферты на организацию теплоснабжения населения </t>
  </si>
  <si>
    <t xml:space="preserve">1.6.2.2.1.15. Иные межбюджетные трансферты на выполнение проектных работ по реконструкции тепловых сетей в 2020 году </t>
  </si>
  <si>
    <t>1.6.2.2.1.16. Иные межбюджетные трансферты на строительство инженерных сетей соцкультбыта в новом микрорайоне комплексной застройки "Юбилейный" в с.Чажемто Колпашевского района</t>
  </si>
  <si>
    <t>(100 301)</t>
  </si>
  <si>
    <t>1.6.2.2.1.17. Иные межбюджетные трансферты на проектирование зон санитарной охраны источника водоснабжения</t>
  </si>
  <si>
    <t>1.6.2.2.1.18. Иные межбюджетные трансферты на строительство объекта: "Газораспределительные сети г.Колпашево и с.Тогур Колпашевского района Томской области, 7 очередь"</t>
  </si>
  <si>
    <t>1.6.2.2.1.19. Иные межбюджетные трансферты на проектирование объекта: "Газораспределительные сети г.Колпашево и с.Тогур Колпашевского района Томской области, VIII очередь. 1 этап"</t>
  </si>
  <si>
    <t>(100 306)</t>
  </si>
  <si>
    <t>1.6.4.2.21.1. ИМБТ на подготовку спортивных сооружений к проведению межпоселенческой спартакиады в с.Инкино</t>
  </si>
  <si>
    <t>1.6.4.2.21.2. Иные межбюджетные трансферты на поощрение поселенческих команд, участвовавших в XII зимней межпоселенческой спартакиаде в с. Инкино</t>
  </si>
  <si>
    <t>1.6.4.2.21.3. Иные межбюджетные трансферты на подготовку спортивных сооружений к проведению межпоселенческой спартакиады в д. Новогорное</t>
  </si>
  <si>
    <t>1.6.4.2.21.4. Иные межбюджетные трансферты на поощрение поселенческих команд, участвовавших в XIV межпоселенческой спартакиаде в д. Новогорное</t>
  </si>
  <si>
    <t>1.6.4.2.21.5. МБТ из резервного фонда финансирования непредвиденных расходов Администрации Томской области (в соответствии с распоряжением АТО от 04.02.2019 № 8-р-в)</t>
  </si>
  <si>
    <t>1.6.4.2.21.6. МБТ из резервного фонда финансирования непредвиденных расходов Администрации Томской области (в соответствии с распоряжением АТО от 15.07.2019 № 214-р-в)</t>
  </si>
  <si>
    <t>1.6.4.2.21.7. Иные межбюджетные трансферты на обустройство спортивных объектов в с.Чажемто</t>
  </si>
  <si>
    <t>1.6.4.2.24.1. Иные межбюджетные трансферты на приобретение контейнеров для сбора твердых коммунальных отходов</t>
  </si>
  <si>
    <t>1.6.4.2.24.3. Субсидия из областного бюджета бюджету муниципального образования "Колпашевский район" на создание мест (площадок) накопления твердых коммунальных отходов в рамках государственной программы "Воспроизводство и использование природных ресурсов Томской области"</t>
  </si>
  <si>
    <t>1.6.4.2.24.2. Иные межбюджетные трансферты на обустройство площадок для временного накопления твердых коммунальных отходов</t>
  </si>
  <si>
    <t>1.6.4.2.24.4. Иные межбюджетные трансферты на ликвидацию мест несанкционированного размещения твердых коммунальных отходов</t>
  </si>
  <si>
    <t>2347 (206 528)</t>
  </si>
  <si>
    <t>(227 548)</t>
  </si>
  <si>
    <t>1.1.1.84. создание условий для развития сельскохозяйственного производства в поселениях в сфере рыбоводства и рыболовства</t>
  </si>
  <si>
    <t>1086 (206 507)</t>
  </si>
  <si>
    <t>1.6.4.2.2.2.4. субсидия на компенсацию сверхнормативных расходов и выпадающих доходов ресурсоснабжающих организаций</t>
  </si>
  <si>
    <t>(201 504)</t>
  </si>
  <si>
    <t>1.6.4.2.2.2.5. Субсидия на осуществление капитальных вложений в объекты муниципальной собственности в сфере газификации в рамках государственной программы "Развитие коммунальной инфраструктуры в Томской области" (Газораспределительные сети г. Колпашево и с. Тогур Колпашевского района Томской области. 8 очередь.1 этап)</t>
  </si>
  <si>
    <t>(219 514)</t>
  </si>
  <si>
    <t>1.6.4.2.2.2.6. Субсидия на осуществление капитальных вложений в объекты муниципальной собственности в целях модернизации коммунальной инфраструктуры Томской области в рамках государственной программы "Развитие коммунальной инфраструктуры в Томской области"</t>
  </si>
  <si>
    <t>(219 505)</t>
  </si>
  <si>
    <t>1.6.4.2.24.5. Субсидия на создание мест (площадок) накопления твердых коммунальных отходов в рамках государственной программы "Обращение с отходами, в том числе с твердыми коммунальными отходами, на территории Томской области"</t>
  </si>
  <si>
    <t>(226 538)</t>
  </si>
  <si>
    <t>(226 539)</t>
  </si>
  <si>
    <t>1.6.4.2.26.1.1. Иные межбюджетные трансферты на выполнение мероприятий по благоустройству населенных пунктов</t>
  </si>
  <si>
    <t>1.6.4.2.26.1.2. Иные межбюджетные трансферты на выполнение работ по разработке дизайн - проектов общественных территорий</t>
  </si>
  <si>
    <t>1.6.4.2.26.1.3. Иные межбюджетные трансферты на благоустройство общественных территорий</t>
  </si>
  <si>
    <t>1.6.4.2.26.1.4. Иные межбюджетные трансферты на благоустройство территории по ул.Кирова, 43/1 (устройство городской детской - спортивной площадки)</t>
  </si>
  <si>
    <t>1.6.4.2.26.1.5. Иные межбюджетные трансферты на организацию уличного освещения</t>
  </si>
  <si>
    <t>1.6.4.2.26.1.6. Иные межбюджетные трансферты на выполнение работ по созданию концепции сквера, расположенного по адресу: Томская область, г.Колпашево, ул. Кирова, 28 для оформления заявки на конкурс "Малые города"</t>
  </si>
  <si>
    <t>1.6.4.2.26.2.4. Субсидия на обеспечение комплексного развития сельских территорий (реализация проектов по благоустройству сельских территорий) (за счет средств федерального бюджета)</t>
  </si>
  <si>
    <t>(227 508)</t>
  </si>
  <si>
    <t>1.6.4.2.26.2.5. Субсидия на обеспечение комплексного развития сельских территорий (реализация проектов по благоустройству сельских территорий) (софинансирование за счет средств областного бюджета к средствам федерального бюджета)</t>
  </si>
  <si>
    <t>(227 509)</t>
  </si>
  <si>
    <t>1.6.4.2.26.1.7. Иные межбюджетные трансферты на обеспечение комплексного развития сельских территорий (реализация проектов по благоустройству сельских территорий)</t>
  </si>
  <si>
    <t>1.6.4.2.26.1.8. Иные межбюджетные трансферты на реализацию программ формирования современной городской среды</t>
  </si>
  <si>
    <t>1.1.1.17.4.Субсидия местным бюджетам на капитальный ремонт муниципальных дошкольных образовательных организаций (включая разработку проектной документации) в рамках государственной программы "Развитие образования в Томской области" (Капитальный ремонт Озеренского детского сада в Колпашевском районе)</t>
  </si>
  <si>
    <t>1.1.1.17.5.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</si>
  <si>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(209 513)</t>
  </si>
  <si>
    <t>(209 515)</t>
  </si>
  <si>
    <t>1.1.1.17.6.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</si>
  <si>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(209 516)</t>
  </si>
  <si>
    <t>1.1.1.18.9. Субсидия местным бюджетам на приобретение учебно-методических комплектов в 2020 году для поэтапного введения федеральных государственных образовательных стандартов</t>
  </si>
  <si>
    <t>(209 517)</t>
  </si>
  <si>
    <t>1.1.1.19.11. Субсидия местным бюджетам на приобретение учебно-методических комплектов в 2020 году для поэтапного введения федеральных государственных образовательных стандартов</t>
  </si>
  <si>
    <t>1.1.1.18.11.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</si>
  <si>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1.1.1.18.12.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</si>
  <si>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1.1.1.19.13.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</si>
  <si>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1.1.1.19.14.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</si>
  <si>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1.1.1.20.7.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</si>
  <si>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1.1.1.20.8.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</si>
  <si>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(208 510)</t>
  </si>
  <si>
    <t>1086</t>
  </si>
  <si>
    <t>1713</t>
  </si>
  <si>
    <t>1023 т</t>
  </si>
  <si>
    <t>2302т</t>
  </si>
  <si>
    <t>2320т</t>
  </si>
  <si>
    <t>1022т</t>
  </si>
  <si>
    <t>1034т</t>
  </si>
  <si>
    <t>1047т</t>
  </si>
  <si>
    <t>2305 т</t>
  </si>
  <si>
    <t>2304т</t>
  </si>
  <si>
    <t>2347т</t>
  </si>
  <si>
    <t>2315т</t>
  </si>
  <si>
    <t>1219т</t>
  </si>
  <si>
    <t>1020т</t>
  </si>
  <si>
    <t>1021т</t>
  </si>
  <si>
    <t>2307т</t>
  </si>
  <si>
    <t>итого т</t>
  </si>
  <si>
    <t>1503т</t>
  </si>
  <si>
    <t>1801т</t>
  </si>
  <si>
    <t>1802т</t>
  </si>
  <si>
    <t>1703т</t>
  </si>
  <si>
    <t>1805т</t>
  </si>
  <si>
    <t>1854т</t>
  </si>
  <si>
    <t>1821т</t>
  </si>
  <si>
    <t>1898т</t>
  </si>
  <si>
    <t>2003т</t>
  </si>
  <si>
    <t>1838т</t>
  </si>
  <si>
    <t>1828т</t>
  </si>
  <si>
    <t>2105т</t>
  </si>
  <si>
    <t>1712т</t>
  </si>
  <si>
    <t>2103т</t>
  </si>
  <si>
    <t>2101т</t>
  </si>
  <si>
    <t>01.01.2019- 22.12.2020</t>
  </si>
  <si>
    <t>Решение Думы Колпашевского района от 18.12.2019 № 146 "О предоставлении иных межбюджетных трансфертов бюджету муниципального образования "Колпашевское городское поселение" на выполнение проектных работ по реконструкции тепловых сетей в 2020 году"</t>
  </si>
  <si>
    <t>01.01.2020- 31.12.2020</t>
  </si>
  <si>
    <t>Решение Думы Колпашевского района от 10.09.2012 № 115 "О предоставлении иных межбюджетных трансфертов на поддержку мер по обеспечению сбалансированности местных бюджетов" (в редакции от 28.10.2013 № 85, от 22.09.2014 № 87, от 27.10.2014 № 112, от 07.09.2015 № 80, от 02.11.2017 № 4, от 20.10.2016 № 89, от 26.10.2017 № 97, от 03.10.2018 № 87, от 23.10.2019 № 106, от 331.01.2020 № 2)</t>
  </si>
  <si>
    <t>Решение думы Колпашевского районат от 31.01.2020 № 3 "О порядке предоставления и распределения иных межбюджетных трансфертов из бюджета муниципального образования "Колпашевский район" бюджетам поселений Колпашевского района на компенсацию расходов по организации электроснабжения от дизельных электростанций"</t>
  </si>
  <si>
    <t>01.01.2020, не указан</t>
  </si>
  <si>
    <t>Решение Думы Колпашевского района от 31.01.2020 № 8 "О предоставлении за счет средств бюджета МО "Колпашевский район"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ВОв 1941-1945 годов; труженников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1941-1945 годов, не вступивших в повторный брак"</t>
  </si>
  <si>
    <t>31.01.2020- 31.12.2020</t>
  </si>
  <si>
    <t>Решение Думы Колпашевского района от 31.01.2020 № 9 "О предоставлении иных межбюджетных трансфертов бюджету муниципального образования "Чажемтовское сельское поселение" на обустройство спортивных объектов в с. Чажемто"</t>
  </si>
  <si>
    <t>31.01.2020- 01.05.2020</t>
  </si>
  <si>
    <t>Решение Думы Колпашевского района от 31.01.2020 № 10 "О предоставлении и распределении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t>
  </si>
  <si>
    <t>31.01.2020- 25.12.2020</t>
  </si>
  <si>
    <t>Решение Думы Колпашевского района от 31.01.2020 № 11 "О предоставлении иных межбюджетных трансфертов бюджету муниципального образования "Новоселовское сельское поселение" на ликвидацию мест несанкционированного размещения твёрдых коммунальных отходов"</t>
  </si>
  <si>
    <t>Решение Думы Колпашевского района от 31.01.2020 № 12 "О предоставлении иных межбюджетных трансфертов бюджетам муниципальных образований Колпашевского района на проектирование зон санитарной охраны источников водоснабжения"</t>
  </si>
  <si>
    <t>Решение Думы Колпашевского района от 31.01.2020 № 13 "О предоставлении иных межбюджетных трансфертов бюджету муниципального образования "Колпашевское городское поселение" на проектирование объекта: "Газораспределительные сети г.Колпашево и с.Тогур Колпашевского района Томской области, VIII очередь. 1 этап"</t>
  </si>
  <si>
    <t>31.01.2020- 23.12.2020</t>
  </si>
  <si>
    <t>Решение Думы Колпашевского района от 31.01.2020 № 14 "О предоставлении иных межбюджетных трансфертов бюджету муниципального образования "Колпашевское городское поселение" на строительство объекта: "Газораспределительные сети г.Колпашево и с.Тогур Колпашевского района Томской области, 7 очередь"</t>
  </si>
  <si>
    <t>Решение Думы Колпашевского района от 31.01.2020 № 15 "О предоставлении иных межбюджетных трансфертов бюджету муниципального образования "Чажемтовское сельское поселение" на строительство инженерных сетей и зданий соцкультбыта в новом микрорайоне комплексной застройки "Юбилейный" в с. Чажемто Колпашевского района"</t>
  </si>
  <si>
    <t>31.01.2020- 22.12.2020</t>
  </si>
  <si>
    <t>Решение Думы Колпашевского района от 31.01.2020 № 16 "О порядке предоставления иных межбюджетных трансфертов из бюджета муниципального образования "Колпашевский район" бюджетам поселений Колпашевского района на исполнение судебных актов по обеспечению жилыми помещениями детей - сирот и детей, оставшихся без попечения родителей, а также лиц из их числа"</t>
  </si>
  <si>
    <t>31.01.2020, не установлен</t>
  </si>
  <si>
    <t>Решение Думы Колпашевского района от 31.01.2020 № 17 "О предоставлении субвенций бюджетам поселений Колпашевского района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</si>
  <si>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31.01.2020- 27.12.2020</t>
  </si>
  <si>
    <t>Постановление Администрации Колпашевского района от 19.02.2020 № 168 "О порядке расходования средств субсидии из бюджета Томской области на сздание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</si>
  <si>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19.02.2020- 31.12.2020</t>
  </si>
  <si>
    <t>1.6.4.2.1.1. ИМБТ на выполнение работ по координатному описанию границ населенных пунктов Колпашевского городского поселения"</t>
  </si>
  <si>
    <t>1.6.4.2.1.2. ИМБТ на выполнение работ по координатному описанию границ населенных пунктов Новоселовского сельского поселения"</t>
  </si>
  <si>
    <t>1.6.4.2.1.3. ИМБТ на выполнение работ по координатному описанию границ населенных пунктов Чажемтовского сельского поселения"</t>
  </si>
  <si>
    <t>1.6.4.2.1.4. Иные межбюджетные трансферты на выполнение комплекса кадастровых работ по выделу земельной доли, находящейся в собственности муниципального образования "Новогоренское сельское поселение" в границах САО "Петропавловское"</t>
  </si>
  <si>
    <t>1.6.4.2.1.5. Иные межбюджетные трансферты на выполнение комплекса кадастровых работ по образованию и межеванию границ земельного участка для размещения кладбища, расположенного по адресу: д.Новогорное (за пределами населенного пункта)</t>
  </si>
  <si>
    <t>1.6.4.2.4.4. Иные межбюджетные трансферты на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муниципального образования "Колпашевский район"</t>
  </si>
  <si>
    <t>1.6.4.2.4.5. Субсидия на софинансирование расходных обязательств по решению вопросов местного значения, возникающих в связи с реализацией Администрацией поселения проекта "Обустройство пешеходного тротуара по ул. Советская в с. Тогур Колпашевского района"</t>
  </si>
  <si>
    <t>1.6.4.2.5.2. субсидии местным бюджетам на создание условий для управления многоквартирными домами</t>
  </si>
  <si>
    <t>Постановление Администрации Колпашевского района от 10.12.2015 № 1257 "Об утверждении муниципальной программы "Обеспечение безопасности населения Колпашевского района" (в редакции от 11.07.2016 № 768, от 09.09.2016 № 1050, от 05.10.2016 № 1122, от 21.11.2016 № 1276, от 15.03.2017 № 216, от 31.01.2018 № 65, от 16.05.2018 № 414, от 31.01.2019 № 74, от 31.01.2020 № 84)</t>
  </si>
  <si>
    <t>проект на 2020 год</t>
  </si>
  <si>
    <t>Закон Томской области от 28.12.2019 № 166-ОЗ "О субвенциях на осуществление полномочий по первичному воинскому учету на территориях, где отсутствуют военные комиссариаты"</t>
  </si>
  <si>
    <t>01.01.2020, не установлен</t>
  </si>
  <si>
    <t>Постановление Администрации Томской области от 26.09.2019 N 340а "Об утверждении государственной программы "Развитие транспортной системы в Томской области"</t>
  </si>
  <si>
    <t>Прил. № 1</t>
  </si>
  <si>
    <t>Постановление Администрации Колпашевского района от 26.02.2019 № 185 "О порядке использования средств субсидии из областного бюджета на капитальный ремонт и (или) ремонт автомобильных дорог общего пользования местного значения в рамках государственной программы "Развитие транспортной системы в Томской области" (в редакции от 22.07.2019 № 786, от 28.08.2019 № 973, от 16.12.2019 № 1437, от 27.12.2019 № 1494)</t>
  </si>
  <si>
    <t>Постановление Администрации Колпашевского района от 18.19.2018 № 994 "Об утверждении порядка компенсации расходов по оплате найма жилого помещения" (в редакции от 27.06.2019 № 685)</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</si>
  <si>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116, от 28.01.2020 № 70)</t>
  </si>
  <si>
    <t>Постановление Администрации Колпашевского района от 16.11.2015 № 1160 "Об утверждении муниципальной программы "Развитие муниципальной системы образования Колпашевского района" (в редакции от 12.04.2016 № 371, от 15.08.2016 № 898, от 06.12.2016 № 1328, от 10.03.2017 № 196, от 29.12.2017 № 1380, от 05.09.2018 № 938, от 31.01.2019 № 71, от 17.06.2019 № 646, от 23.07.2019 № 790, от 16.12.2019 № 1435, от 27.01.2020 № 63)</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</si>
  <si>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1116, от 28.01.2020 № 70)</t>
  </si>
  <si>
    <t>Постановление Администрации Колпашевского района от 16.11.2015 № 1160 "Об утверждении муниципальной программы "Развитие муниципальной системы образования Колпашевского района" (в редакции от 12.04.2016 № 371, от 15.08.2016 № 898, от 06.12.2016 № 1328, от 10.03.2017 № 196, от 29.12.2017 № 1380, от 05.09.2018 № 38,от 30.01.2019 № 71, от 17.06.2019 № 646, от 23.07.2019 № 790, от 16.12.2019 № 1435, от 27.01.2020 № 63)</t>
  </si>
  <si>
    <t>Постановление Администрации Томской области от 27.09.2019 N 342а "Об утверждении государственной программы "Развитие образования в Томской области"</t>
  </si>
  <si>
    <t>прил. №2 подпр.1</t>
  </si>
  <si>
    <t>Постановление Администрации Колпашевского района от 16.11.2015 № 1160 "Об утверждении муниципальной программы "Развитие муниципальной системы образования Колпашевского района" (в редакции от 12.04.2016 № 371, от 15.08.2016 № 898, от 06.12.2016 № 1328, от 10.03.2017 № 196, от 29.12.2017 № 1380, от 05.09.2018 № 38, от 30.01.2019 № 71, от 17.06.2019 № 646, от 23.07.2019 № 790, от 16.12.2019 № 1435, 27.01.2020 № 63)</t>
  </si>
  <si>
    <t>Постановление Администрации Томской области от 27.09.2019 N 361а "Об утверждении государственной программы "Социальная поддержка населения Томской области"</t>
  </si>
  <si>
    <t>Подпрограмма 4</t>
  </si>
  <si>
    <t>Постановление Главы Колпашевского района от 25.04.2014 № 68 "Об утверждении положения об оплате труда и ежегодных основных оплачиваемых отпусках, ежегодных дополнительных оплачиваемых отпусках работников муниципальных архивных учреждений" (в редакции от 09.02.2015 № 18, от 15.09.2016 № 217, от 04.10.2016 № 233, от 09.02.2017 № 20, от 02.06.2017 № 96, от 30.01.2018 № 16, от 11.02.2019 № 28, от 23.10.2019 № 201)</t>
  </si>
  <si>
    <t>Постановление Администрации Томской области от 27.09.2019 № 347а "Об утверждении государственной программы "Развитие культуры и туризма в Томской области"</t>
  </si>
  <si>
    <t>Прил. № 4</t>
  </si>
  <si>
    <t>Прил. № 3</t>
  </si>
  <si>
    <t>Постановление Администрации Колпашевского района от 16.12.2015 № 1301 "Об утверждении Порядка формирования муниципального задания в отношении муниципальных учреждений муниципального образования "Колпашевский район" и Порядка финансового обеспечения выполнения муниципального задания муниципальными учреждениями в муниципальном образовании "Колпашевский район" (в редакции от 18.01.2016 № 11, от 06.07.2016 № 738, от 11.11.2016 № 1250, от 21.01.2017 № 120, от 27.10.2017 № 1134, от 09.10.2018 № 1072, от 05.12.2018 № 1306)</t>
  </si>
  <si>
    <t>Постановление Администрации Колпашевского района от 21.03.2016 № 278 "Об утверждении муниципальной программы "Развитие культуры и туризма в Колпашевском районе" (в редакции от 04.04.2016 № 336, от 01.06.2016 № 610, от 04.10.2016 № 1112, от 15.11.2016 № 1253, от 14.12.2016 № 1361, от 30.12.2016 № 1448, от 10.03.2017 № 192, от 29.12.2017 № 1381, от 18.05.2018 № 431, от 04.02.2019 № 99, от 26.07.2019 № 811, от 19.12.2019 № 1452, от 21.02.2020 № 173)</t>
  </si>
  <si>
    <t>ПостановлениеАдминистрации Колпашевского района от 16.08.2013 № 834 "Об утверждении муниципальной программы "Устойчивое развитие сельских территорий муниципального образования Колпашевский район Томской области на 2014-2017 годы и на период до 2020 года" (в редакции от 02.06.2014 № 506, от 18.08.2014 № 807, от 29.12.2014 № 1631, от 17.06.2015, от 24.09.2015 № 976, от 18.12.2015 № 1326, от 06.09.2016 № 1025, от 29.09.2016 № 1098, от 27.12.2016 № 1424, от 02.06.2017 № 504, от 27.12.2017 № 1366, от 14.01.2019 № 11, от 25.06.2019 № 671, от 31.01.2020 № 89)</t>
  </si>
  <si>
    <t>Постановление Администрации Колпашевского района от 07.02.2018 № 93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25.05.2018 № 449, от 08.02.2019 № 115, от 19.03.2019 № 250, от 19.12.2019 № 1454)</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</si>
  <si>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</si>
  <si>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Подпрограмма 1, соотв. Порядок</t>
  </si>
  <si>
    <t>Постановление Администрации Колпашевского района от 19.06.2018 № 543 «О порядке предоставления субсидии на обеспечение деятельности бизнес-инкубатора Колпашевского района производственного и офисного назначения» (в редакции от 17.12.2018 № 1358, от 07.02.2020 № 116)</t>
  </si>
  <si>
    <t>Постановление Администрации Колпашевского района от 25.11.2015 № 1191 "О порядке предоставления субсидий субъектам малого и среднего предпринимательства, осуществляющим деятельность в сфере рыбного хозяйства" (в редакции от 07.12.2015 № 1246, от 16.12.2015 № 1300, от 29.06.2017 № 609, от 27.12.2017 № 1373, от 01.02.2018 № 66, от 02.04.2019 № 312)</t>
  </si>
  <si>
    <t>Постановление Администрации Колпашевского района от 10.10.2018 № 1081 "Об утверждении муниципальной программы "Развитие предпринимательства в Колпашевском районе" (в редакции от 13.12.2018 № 1349, от 17.01.2020 № 15)</t>
  </si>
  <si>
    <t>Решение Думы Колпашевского района от 30.03.2007 № 307 "Об утверждении Положения об обеспечении условий для развития на территории муниципальногообразования "Колпашевский район"физической культуры и массового спорта , организация проведения официальных физкультурно-оздоровительных мероприятий Колпашевского района (в редакции от 30.08.2007 № 356, от 28.08.2007 № 525, от 24.05.2010 № 835, от 25.04.2011 № 39, от 23.04.2012 № 68, от 15.12.2014 № 155, от 30.05.2016 № 50, от 24.08.2016 № 67, от 30.05.2017 № 41, от 28.09.2017 № 82, от 18.06.2018 № 41, от 26.02.2020 № 23)</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</si>
  <si>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</si>
  <si>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Прил. № 1 подпр. 2</t>
  </si>
  <si>
    <t>Прил. № 8 подпр 2</t>
  </si>
  <si>
    <t>Прил. к подпр 1</t>
  </si>
  <si>
    <t>Постановление Администрации Колпашевского района от 31.03.2016 № 334 "Об утверждении муниципальной программы "Развитие молодежной политики, физической культуры и массового спорта на территории муниципального образования "Колпашевский район" (в редакции от 27.04.2016 № 420, от 21.06.2016 № 686, от 09.09.2016 № 1051, от 24.11.2016 № 1286, от 21.12.2016 № 1381, от 29.12.2016 № 1439, от 03.03.2017 № 158, от 15.03.2017 № 214, от 13.06.2017 № 529, от 29.12.2017 № 1382, от 17.08.2018 № 861, от15.01.2019 № 116, от 17.05.219 № 488, от 16.08.2019 № 934, от 08.11.2019 № 1233, от 27.01.2020 № 62)</t>
  </si>
  <si>
    <t>Прил. № 5 к подпр 2</t>
  </si>
  <si>
    <t>Прил. № 3 к подпр 2</t>
  </si>
  <si>
    <t>Решение Думы Колпашевского района от 29.11.2006 № 240 "Об утверждении Положения "Об организации и осуществлении мероприятий межпоселенческого характера по работе с детьми и молодежью на территории муниципального образования "Колпашевский район" (в редакции от 15.12.2014 № 162, от 25.03.2015 № 31, от 18.12.2019 № 142, от 26.02.2020 № 27)</t>
  </si>
  <si>
    <t>Постановление Главы Колпашевского района от 03.12 2019 № 225 "О порядке расходования бюджетных ассигнований резервного фонда финансирования непредвиденных расходов Администрации Томской области" (распоряжение АТО от 15.11.2019 № 362-р-в)</t>
  </si>
  <si>
    <t>Прил, № 5</t>
  </si>
  <si>
    <t>Решение Думы Колпашевского района от 18.12.2019 № 141 "О принятии муниципальным образованием "Колпашевский район" осуществления части полномочий по решению вопроса местного значения "Организация библиотечного обслуживания населения, комплектование и обеспечение сохранности библиотечных фондов библиотек поселения"</t>
  </si>
  <si>
    <t>Решение Думы Колпашевского района от 25.03.2015 № 29 "О принятии муниципальным образованием "Колпашевский район" осуществления части полномочий по решению вопросов местного значения" (в редакции от 24.08.2016 № 65, от 18.12.2019 № 143)</t>
  </si>
  <si>
    <t>Постановление Администрации Колпашевского района от 24.12.2019 № 1480 "О порядке использования иных межбюджетных трансфертов из областного бюджета бюджетам муниципальных образований Томской области на поощрение муниципальных управленческих команд"</t>
  </si>
  <si>
    <t>Решение Думы Колпашевского района от 15.12.2014 № 151 "Об Управлении по культуре, спорту и молодёжной политике Администрации Колпашевского района и утверждении Положения об Управлении по культуре, спорту и молодёжной политике Администрации Колпашевского района" (в редакции от 28.06.2016 № 54, 25.09.2019 № 99)</t>
  </si>
  <si>
    <t>Решение Думы Колпашевского района от 10.12.2008 № 580 "Об утверждении Положения об оплате труда и ежегодных основных оплачиваемых отпусках работников органов местного самоуправления Колпашевского района и работников органов Администрации Колпашевского района" (в редакции от 17.06.2010 № 853, от 14.02.2011 № 18, от 20.06.2011 № 61, от 06.07.2011 № 77, от 30.09.2011 № 112, от 23.04.2012 № 47, от 24.05.2012 № 87, от 10.09.2012 № 124, от 19.11.2012 № 144, от 27.03.2013 № 28, от 16.07.2013 № 63, от 30.01.2014 № 13, от 15.12.2014 № 164, от 25.03.2015 № 23, от 24.08.2016 № 71, от 16.02.2016 № 6, от 30.05.2017 № 45, от 29.09.2017 № 87, от 25.01.2018 № 1, от 24.04.2019 № 40, от 25.11.2019 № 122)</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</si>
  <si>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</si>
  <si>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Постановление Администрации Томской области от 25.09.2019 № 337а "Об утверждении государственной программы "Жилье и городская среда Томской области"</t>
  </si>
  <si>
    <t>Подпр.1 прил.1 прил.2</t>
  </si>
  <si>
    <t>Постановление Администрации Томской области от 26.09.2019 N 338а "Об утверждении государственной программы "Развитие сельского хозяйства, рынков сырья и продовольствия в Томской области"</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</si>
  <si>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t>
  </si>
  <si>
    <t>Прил 6</t>
  </si>
  <si>
    <t>01.08.2013- 31.12.2025</t>
  </si>
  <si>
    <t>Решение Думы Колпашевского района от 19.12.2012 № 160 "О Почетной грамоте и Благодарственном письме Думы Колпашевского района" (в редакции от 25.11.2013 № 110, от 21.12.2015 № 64, от 26.02.2020 № 32)</t>
  </si>
  <si>
    <t>ст. 1-2</t>
  </si>
  <si>
    <t>п. 44.2) ст. 26.3.</t>
  </si>
  <si>
    <t>19.10.1999,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</si>
  <si>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</si>
  <si>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редакции от 18.03.2015 № 307)</t>
  </si>
  <si>
    <t>Решение Думы Колпашевского района от 26.02.2020 № 19 "О предоставлении субвенций местным бюджетам на осуществление первичного воинского учета на территориях, где отсутствуют военные комиссариаты"</t>
  </si>
  <si>
    <t>Постановление Администрации Томской области от 26.09.2019 года № 339а «Об утверждении государственной программы «Улучшение инвестиционного климата и развитие экспорта Томской области»</t>
  </si>
  <si>
    <t>Подпр.3
прил. 1</t>
  </si>
  <si>
    <t>Постановление Администрации Колпашевского района от 27.09.2019 № 346а "Об утверждении государственной программы "Развитие инфраструктуры в Томской области"</t>
  </si>
  <si>
    <t>Прил.2</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</si>
  <si>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</si>
  <si>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Подпр.2
прил.1</t>
  </si>
  <si>
    <t>Постановление Администрации Томской области от 11.10.2017 N 363а "О предоставлении и расходовании субсидий бюджетам муниципальных образований Томской области для софинансирования расходных обязательств по решению вопросов местного значения, возникающих в связи с реализацией проектов, предложенных непосредственно населением муниципальных образований Томской области, отобранных на конкурсной основе"</t>
  </si>
  <si>
    <t>16.10.2017, не установлен</t>
  </si>
  <si>
    <t>Постановление Администрации Томской области от 25.09.2019 N 337а "Об утверждении государственной программы "Жилье и городская среда Томской области"</t>
  </si>
  <si>
    <t>Прил. 1 к подпр. Обеспечение доступности и комфортности жилища</t>
  </si>
  <si>
    <t>Подпр.1
прил.2</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</si>
  <si>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</si>
  <si>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Подпр.2 Прил.8</t>
  </si>
  <si>
    <t>Постановление Администрации Томской области от 27.02.2008 N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</si>
  <si>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п.п.6 п.5</t>
  </si>
  <si>
    <t>Постановление Администрации Томской области от 27.09.019 N 357а "Об утверждении государственной программы "Обращение с отходами, в том числе с твердыми коммунальными отходами, на территории Томской области"</t>
  </si>
  <si>
    <t>01.01.2020- 31.12.2024</t>
  </si>
  <si>
    <t>Подпр.1 Прил. 4</t>
  </si>
  <si>
    <t>Постановление Администрации Томской области от 25.09.2019 N 337а "Об утверждении государственной программы "Жилье и городская среда Томской области"</t>
  </si>
  <si>
    <t>Прил.1</t>
  </si>
  <si>
    <t>Постановление Администрации томской области от 26.09.2019 № 338а "Об утверждении государственной программы "Развитие сельского хозяйства, рынков сырья и продовольствия в Томской области"</t>
  </si>
  <si>
    <t>Прил. к подпр.1</t>
  </si>
  <si>
    <t>01.01.2020-31.12.2024</t>
  </si>
  <si>
    <t>1.6.4.2.15.3. Субсидия местным бюджетам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в рамках государственной программы "Комплексное развитие сельских территорий Томской области"</t>
  </si>
  <si>
    <t>Постановление Администрации Томской области от 27.09.2019 N 358а "Об утверждении государственной программы "Комплексное развитие сельских территорий Томской области"</t>
  </si>
  <si>
    <t>Подпр.1  Прил.3</t>
  </si>
  <si>
    <t>(218 597)</t>
  </si>
  <si>
    <t>1.6.4.2.15.1.  Субсидия на обеспечение жителей отдаленных населенных пунктов Томской области услугами связи в рамках государственной программы "Развитие транспортной инфраструктуры в Томской области"</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</si>
  <si>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</si>
  <si>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Подпр.1 прил.3</t>
  </si>
  <si>
    <t>Постановление Администрации Томской области от 27.09.2019 № 346а "Об утверждении государственной программы "Развитие коммунальной инфраструктуры в Томской области"</t>
  </si>
  <si>
    <t>Прил.3</t>
  </si>
  <si>
    <t>Подпр.1 Прил. 2</t>
  </si>
  <si>
    <t>Постановление Администрации Томской области от 27 сентября 2019 г. N 357а 
"Об утверждении государственной программы "Обращение с отходами, в том числе с твердыми коммунальными отходами, на территории Томской области"</t>
  </si>
  <si>
    <t>Подпр.1 Прил.3</t>
  </si>
  <si>
    <t>Постановление Администрации Томской области от 27 сентября 2019 г. N 342а 
"Об утверждении государственной программы "Развитие образования в Томской области"</t>
  </si>
  <si>
    <t>Прил. 6</t>
  </si>
  <si>
    <t>1.6.2.2.1.20. Иные межбюджетные трансферты на организацию электроснабжения от дизельных электростанций</t>
  </si>
  <si>
    <t>1.6.2.2.1.21. Иные межбюджетные трансферты на организацию теплоснабжения населения</t>
  </si>
  <si>
    <t>(100 321) (100 301)</t>
  </si>
  <si>
    <t>2314 (100 310)</t>
  </si>
  <si>
    <t>(100 323) (100 308)</t>
  </si>
  <si>
    <t>1.6.4.2.26.2.6. МБТ из резервного фонда финансирования непредвиденных расходов Администрации Томской области (в соответствии с распоряжением АТО от 20.02.2020 № 32-р-в)</t>
  </si>
  <si>
    <t>Постановление Администрации Колпашевского района от 14.02.2020 № 144 "О предоставлении бюджету муниципального образования "Саровское сельское поселение" иных межбюджетных трансфертов на обеспечение деятельности добровольной пожарной команды в д.Тискино Саровского сельского поселения"</t>
  </si>
  <si>
    <t>14.02.2020- 23.12.2020</t>
  </si>
  <si>
    <t>Решение Думы Колпашевского района от 26.02.2020 № 25 "О предоставлении иных межбюджетных трансфертов бюджету муниципального образования "Колпашевское городское поселение" на приобретение и монтаж звукового оборудования для обеспечения звукового сопровождения мероприятий в г.Колпашево"</t>
  </si>
  <si>
    <t>26.02.2020- 25.12.2020</t>
  </si>
  <si>
    <t>Решение думы Колпашевского района от 26.02.2020 № 26 "О предоставлении и распределении иных межбюджетных трансфертов бюджетам поселений Колпашевского района на обеспечение комплексного развития сельских территорий (реализация проектов по благоустройству сельских территорий)"</t>
  </si>
  <si>
    <t>Решение Думы Колпашевского района от 26.02.2020 № 28 "О предоставлении иных межбюджетных трансфертов бюджету муниципального образования "Инкинское сельское поселение" на организацию электроснабжения от дизельных электростанций"</t>
  </si>
  <si>
    <t>26.02.2020-25.12.2020</t>
  </si>
  <si>
    <t>Решение Думы Колпашевского района от 26.02.2020 № 29 "О предоставлении иных межбюджетных трансфертов бюджету муниципального образования "Колпашевское городское поселение" на организацию теплоснабжения населения"</t>
  </si>
  <si>
    <t>26.02.2020- 04.12.2020</t>
  </si>
  <si>
    <t>Постановление Админи страции Колпашевского района от 28.02.2020 № 196 "О порядке расходования в 2020 году средств субсидии из областного бюджета бюджету муниципального образования "Колпашевский район" на капитальный ремонт муниципальных дошкольных образовательных организаций (включая разработку проектной документации) в рамках государственной программы "Развитие образования в Томской области" (капитальный ремонт Озёренского детского сада в Колпашевском районе)"</t>
  </si>
  <si>
    <t>28.02.2020- 31.12.2020</t>
  </si>
  <si>
    <t>Постановление Администрации Томской области от 25.09.2019 N 337а "Об утверждении государственной программы "Жилье и городская среда Томской области"</t>
  </si>
  <si>
    <t>Подпр. 1 прил.1</t>
  </si>
  <si>
    <t>Постановление Администрации Колпашевского района от 04.03.2020 № 205 "О порядке расходования средств субсидии местному бюджету из областного бюджета на предоставление социальных выплат молодым семьям на приобретение (строительство) жилья"</t>
  </si>
  <si>
    <t>04.03.2020- 31.12.2020</t>
  </si>
  <si>
    <t>Постановление Администрации Колпашевского райорна от 06.03.2020 № 231 "О порядке расходования средств субсидии из бюджета Томской области о предоставлении субсидии местному бюджету из областного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</si>
  <si>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06.03.2020- 31.12.2020</t>
  </si>
  <si>
    <t>Постановление Администрации Колпашевского района от 06.03.2020 № 231 "О порядке расходования средств субсидии из бюджета Томской области о предоставлении субсидии местному бюджету из областного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</si>
  <si>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06.03.2020-31.12.2020</t>
  </si>
  <si>
    <t>Постановление Администрации Колпашевского района от  06.03.2020 № 231 "О порядке расходования средств субсидии из бюджета Томской области о предоставлении субсидии местному бюджету из областного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</si>
  <si>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Постановление Администрации Колпашевского района от 09.04.2014 № 324 "О порядке расходования средств субсидии из областного бюджета на стимулирующие выплаты в муниципальных организациях дополнительного образования в Томской области (в редакции постановлений от 16.03.2015 № 294, от 21.03.2016 № 286, от 17.03.2017 № 227, от 26.03.2018 № 251, от 19.03.2019 № 251, от 11.03.2020 № 237)</t>
  </si>
  <si>
    <t>Постановление Администрации Колпашевского района от 14.05.2015 № 480 "О порядке расходования средств иных межбюджетных трансфертов, предоставленных из областного бюджета и средств бюджета муниципального образования "Колпашевский район"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 редакции от 30.06.2016 № 713, от 18.10.2016 № 1143, от 20.12.2016 № 1373, от 25.04.2017 № 367, от 16.11.2017 № 1200, от 22.03.2018 № 237, от 02.07.2018 № 647, от 11.06.2019 № 612, от 12.08.2019 № 890, от 27.12.2019 № 1496, от 12.03.2020 № 245)</t>
  </si>
  <si>
    <t>Постановление Администрации Колпашевского района от 12.03.2020 № 246 "О порядке расходования в 2020 году средств субсидии на создание и модернизацию объектов спортивной инфраструктуры для занятий физической культурой и спортом в рамках регионального проекта "Спорт - норма жизни" государственной программы "Развитие молодежной политики, физической культуры и спорта в Томской области" (Строительство физкультурно-оздоровительного комплекса с универсальным игровым залом для МАУДО "ДЮСШ им. О.Рахматулиной" по ул. Ленина, 52 в г. Колпашево Колпашевского района Томской области)"</t>
  </si>
  <si>
    <t>11.03.2020- 31.12.2020</t>
  </si>
  <si>
    <t>Постановление Администрации Колпашевского района от 18.03.2020 № 277 "О порядке расходования средств субсидии на обеспечение участия спортивных сборных команд муниципальных районов и городских округов Томской области в официальных региональных спортивных, физкультурных мероприятиях, проводимых на территории Томской области, за исключением спортивных сборных команд муниципального образования "Город Томск", муниципального образования "Городской округ - закрытое административно-территориальное образование Северск Томской области", муниципального образования "Томский район"</t>
  </si>
  <si>
    <t>18.03.2020- 31.12.2020</t>
  </si>
  <si>
    <t xml:space="preserve">1.1.1.17.8. расходы за счет резервных фондов Администрации Томской области </t>
  </si>
  <si>
    <t>1.1.1.17.7.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</si>
  <si>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(209 503)</t>
  </si>
  <si>
    <t>1.1.1.18.13.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</si>
  <si>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1.1.1.18.10.Софинансирование из местного бюджета на разработку проектно-сметной документации на строительство муниципальных обектов недвижимого имущества в сфере образования в рамках государственной программы "Развитие образования в Томской области" (Строительство общеобразовательной организации на 550 мест в г. Колпашево)</t>
  </si>
  <si>
    <t xml:space="preserve">1.1.1.19.16. расходы за счет резервных фондов Администрации Томской области </t>
  </si>
  <si>
    <t>1.1.1.19.15.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</si>
  <si>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1.1.1.19.12. Софинансирование из местного бюджета на капитальный ремонт муниципальных общеобразовательных организаций (включая разработку проектной документации) в рамках государственной программы "Развитие образования в Томской области" (Капитальный ремонт Озеренская СОШ в Колпашевском районе (ПСД))</t>
  </si>
  <si>
    <t>(226 803)</t>
  </si>
  <si>
    <t>(213 502)</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</si>
  <si>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</si>
  <si>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</si>
  <si>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(227 546)</t>
  </si>
  <si>
    <t>(227 547)</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</si>
  <si>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</si>
  <si>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1085 (206 528)</t>
  </si>
  <si>
    <t>1.2.26. выплаты гражданам денежных вознаграждений в связи с присвоением почетных званий, получением наград, поощрений</t>
  </si>
  <si>
    <t>1226</t>
  </si>
  <si>
    <t>1085</t>
  </si>
  <si>
    <t>1.4.1.30. осуществление полномочий по проведению Всероссийской переписи населения 2020 года</t>
  </si>
  <si>
    <t>1731 (303 506)</t>
  </si>
  <si>
    <t>1.4.2.7.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</si>
  <si>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</si>
  <si>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</si>
  <si>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2001 (309 569, 309 588)</t>
  </si>
  <si>
    <t>2002 (309 569, 309 588)</t>
  </si>
  <si>
    <t>2106 (584)</t>
  </si>
  <si>
    <t>2107 (552, 563, 582)</t>
  </si>
  <si>
    <t>1.6.2.2.1.22. Иные межбюджетные трансферты на строительство объекта: "Очистные сооружения Колпашевского городского поселения"</t>
  </si>
  <si>
    <t>(100 315)</t>
  </si>
  <si>
    <t>1.6.4.2.26.2.7. Субсидия на софинансирование расходных обязательств по решению вопросов местного значения, возникающих в связи с реализацией проекта "Обустройство спортивно-игровой площадки по ул. Советская, уч. 29 в п. Большая Саровка" в Саровском сельском поселении, входящем в состав Колпашевского района Томской области</t>
  </si>
  <si>
    <t>1.6.4.2.26.2.8. Субсидия на софинансирование расходных обязательств по решению вопросов местного значения, возникающих в связи с реализацией проекта "Обустройство уличного освещения в г. Колпашево по ул. Портовая" в Колпашевском городском поселении, входящем в состав Колпашевского района Томской области</t>
  </si>
  <si>
    <t>1.6.4.2.26.2.9. Субсидия на софинансирование расходных обязательств по решению вопросов местного значения, возникающих в связи с реализацией проекта "Обустройство металлической изгороди и планировки сквера "Зеленый берег" по адресу: Томская область, Колпашевский район, с. Новоселово, ул. Центральная, 27/1" в Новоселовском сельском поселении, входящем в состав Колпашевского района Томской области</t>
  </si>
  <si>
    <t>2329 (100 306) (100 317)</t>
  </si>
  <si>
    <t>(213 542) (299 801)</t>
  </si>
  <si>
    <t>Решение думы колпашевского района от 25.03.2020 № 36 "О порядке расходования средств бюджетных ассигнований резервного фонда финансирования непредвиденных расходов Администрации Томской области на приобретение материалов для благоустройства аллеи славы в с. Новоильинка"</t>
  </si>
  <si>
    <t>25.03.2020- 31.12.2020</t>
  </si>
  <si>
    <t>Постановление Администрации Томской области от 27.10.2008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</si>
  <si>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Решение Думы Колпашевского района от 25.03.2020 № 37 "О предоставлении иных межбюджетных трансфертов бюджету муниципального образования "Колпашевское городское поселение" на строительство очистных сооружений Колпашевского городского поселения"</t>
  </si>
  <si>
    <t>25.03.2020-31.12.2020</t>
  </si>
  <si>
    <t>Решение Думы Колпашевского района от 25.03.2020 № 38 "О предоставлении иных межбюджетных трансфертов бюджету муниципального образования "Колпашевское городское поселение"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2018 - 2022 г.г."</t>
  </si>
  <si>
    <t>Постановление Администрации Колпашевского района от 31.03.2020 № 346 "О порядке расходования средств субсидии из областного бюджета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t>
  </si>
  <si>
    <t>Постановление Администрации Колпашевского района от 24.07.2019 № 801 "О частичной оплате стоимости питания отдельных категорий обучающихся в муниципальных общеобразовательных организациях Колпашевского района, за исключением обучающихся с ограниченными возможностями здоровья" (в редакции от 12.08.2019 № 898, от 27.12.2019 № 1495, от 06.04.2020 № 358)</t>
  </si>
  <si>
    <t>Постановление Администрации колпашевского района от 09.04.2020 № 368 "О иных межбюджетных трансферах на капитальный ремонт и (или) ремонт автомобильных дорог общего пользования местного значения, предоставляемых бюджетам поселений Колпашевского района в 2020 году"</t>
  </si>
  <si>
    <t>09.04.2020- 31.12.2020</t>
  </si>
  <si>
    <t>постановление Администрации Колпашевского района от 24.05.2013 № 487 "О порядке расходования средств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учреждений дополнительного образования детей (в редакции от 22.04.2014 № 371, от 16.09.2014 № 948, от 05.06.2015 № 559, от 16.09.2015 № 943, от 21.12.2015 № 1344, от 04.03.2016 № 232, от 19.04.2017 № 354, от 07.02.2018 № 94, от 19.09.2018 № 995, от 26.04.2019 № 418, от 11.07.2019 № 740, от 10.04.2020 № 372)</t>
  </si>
  <si>
    <t>Постановление Администрация Колпашевского района от 15.04.2020 № 41 "О порядке и сроках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15.04.2020 № 41)</t>
  </si>
  <si>
    <t>15.04.2020- 31.12.2020</t>
  </si>
  <si>
    <t>Постановление Администрации Колпашевского района от 15.04.2020 № 42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15.04.2020 № 42)</t>
  </si>
  <si>
    <t>Постановление Главы колпашевского района от 16.04.2020 "О перечислении средств иных межбюджетных трансфертов Колпашевскому городскому поселению на исполнение судебных актов"</t>
  </si>
  <si>
    <t>16.04.2020, не установлен</t>
  </si>
  <si>
    <t>Постановление Администрации Колпашевского района  от 19.12.2013 № 1336 «О порядке расходования средств иных межбюджетных трансфертов на организацию системы выявления, сопровождения одарённых детей» (в редакции постановлений Администрации Колпашевского района от 30.07.2014 № 752, от 22.05.2015 № 510, от 05.04.2016 № 340, от 21.06.2017 № 580, от 13.04.2018 № 328, от 11.04.2019 № 358, от 28.04.2020 № 430)</t>
  </si>
  <si>
    <t>Решение Думы Колпашевского района от 29.04.2020 № 49 "О предоставлении иных межбюджетных трансферов бюджетам поселений, входящих в состав муниципального образования "Колпашевский район" на софинансирование расходных обязательств по решению вопросов местного значения, возникающих в связи с реализацией проектов, предложенных непосредственно населением муниципальных образований Колпашевского района, входящих в состав Колпашевского района Томской области, победивших в конкурсном отборе"</t>
  </si>
  <si>
    <t>29.04.2020- 31.12.2020</t>
  </si>
  <si>
    <t>Постановление Администрации Колпашевского района от 09.04.2020 № 366 "О порядке расходования средств субсидии из областного бюджета и утверждении Порядка определения объёма и условия предоставления субсидии из средств бюджета муниципального образования "Колпашевский район" муниципальным бюджетным (автономным) образовательным организациям на приобретение оборудования для малобюджетных спортивных площадок по месту жительства и учёбы в муниципальных образованиях Томской области, за исключением муниципального образования "Город Томск", муниципального образования "Городской округ - ЗАТО Северск Томской области"</t>
  </si>
  <si>
    <t>Решение Думы Колпашевского района от 25.03.2020 № 35 "О предоставлении иных межбюджетных трансфертов бюджетам поселений Колпашевского района на реализацию мероприятия "Предоставление субсидий бюджетам муниципальных образований Томской области на подготовку проектов генерального плана, правил землепользования и застройки вновь образованных муниципальных образований" подпрограммы "Стимулирование развития жилищного строительства в Томской области" государственной программы "Обеспечение доступности жилья и улучшения качества жилищных условий населения Томской области"</t>
  </si>
  <si>
    <t>Постановление Администрации Колашевского района от 16.02.2016 № 141 "О порядке расходования средств 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(должностному окладу) из областного бюджета" (вредакции от 01.03.2017 № 150, от 06.10.2017 № 1020, от 13.02.2018 № 115, от 21.02.2019 № 163, от 22.04.2020 № 418)</t>
  </si>
  <si>
    <t>12.02.2016- 31.12.2020</t>
  </si>
  <si>
    <t>Постановление главы Колпашевского района от 16.04.2020 № 45 "О порядке расходования бюджетных ассигнований резервного фонда финансирования непредвиденных расходов Администрации Томской области" (распоряжение АТО от 20.03.2020 № 65-р-в)</t>
  </si>
  <si>
    <t>03.12.2019- 31.12.2019</t>
  </si>
  <si>
    <t>16.04.2020- 31.12.2020</t>
  </si>
  <si>
    <t>1.1.1.18.14. МП "Обеспечение безопасности  населения Колпашевского района"</t>
  </si>
  <si>
    <t>1.1.1.18.15. МП "Развитие муниципальной системы образования в Колпашевском районе"</t>
  </si>
  <si>
    <t xml:space="preserve">1.1.1.18.16. расходы за счет резервных фондов Администрации Томской области </t>
  </si>
  <si>
    <t>23.05.2013- 31.12.2020</t>
  </si>
  <si>
    <t>Постановление Администрации колпашевского района от 06.03.2020 № 231 "О порядке расходования средств субсидии из бюджета Томской области о предоставлении субсидии местному бюджету из областного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</si>
  <si>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08.06.2019- 31.12.2020</t>
  </si>
  <si>
    <t>Решение думы Колпашевского района от 27.05.2020 № 58 "О предоставлении иного межбюджетного трансферта бюджету муниципального образования "Новоселовское сельское поселение" на обеспечение жителей отдаленных населенных пунктов Томской области услугами связи"</t>
  </si>
  <si>
    <t>27.05.2020- 31.12.2020</t>
  </si>
  <si>
    <t>Решение Думы Колпашевского района от 29.04.2020 № 45 "О предоставлении иных межбюджетных трансфертов бюджету муниципального образования "Чажемтовское сельское поселение"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(Строительство инженерных сетей и зданий соцкультбыта в новом микрорайоне комплексной застройки "Юбилейный" в с. Чажемто Колпашевского района Томской области. Линейные объекты)"</t>
  </si>
  <si>
    <t>Гл.3, ст.15, часть 1, п.п.18</t>
  </si>
  <si>
    <t>Решение Думы Колпашевского района от 27.05.2020 № 52 "О предоставлении иного межбюджетного трансферта бюджету муниципального образования "Колпашевское городское поселение" на укрепление материально-технической базы"</t>
  </si>
  <si>
    <t>Решение Думы Колпашевского района от 27.05.2020 № 53 "О предоставлении иного межбюджетного трансферта бюджету муниципального образования "Новогоренское сельское поселение" на приобретение спортивного инвентаря и оборудования"</t>
  </si>
  <si>
    <t>Решение Думы Колпашевского района от 31.01.2020 № 7 "О предоставлении иных межбюджетных трансфертов на приобретение нежилого здания в п.Большая Саровка Саровского сельского поселения Колпашевского района"</t>
  </si>
  <si>
    <t>Реестр расходных обязательств муниципального образования "Колпашевский район" на 2020 год</t>
  </si>
  <si>
    <t>проект на 2021 год</t>
  </si>
</sst>
</file>

<file path=xl/styles.xml><?xml version="1.0" encoding="utf-8"?>
<styleSheet xmlns="http://schemas.openxmlformats.org/spreadsheetml/2006/main">
  <numFmts count="4">
    <numFmt numFmtId="164" formatCode="[$-10419]#,##0.0;\-#,##0.0"/>
    <numFmt numFmtId="165" formatCode="#,##0.0_ ;\-#,##0.0\ "/>
    <numFmt numFmtId="166" formatCode="#,##0.0"/>
    <numFmt numFmtId="168" formatCode="#,##0.000"/>
  </numFmts>
  <fonts count="22">
    <font>
      <sz val="10"/>
      <name val="Arial"/>
    </font>
    <font>
      <sz val="10"/>
      <name val="Arial"/>
      <family val="2"/>
      <charset val="204"/>
    </font>
    <font>
      <sz val="14"/>
      <name val="Times New Roman"/>
      <family val="1"/>
      <charset val="204"/>
    </font>
    <font>
      <sz val="9"/>
      <name val="Times New Roman CYR"/>
      <family val="1"/>
      <charset val="204"/>
    </font>
    <font>
      <sz val="9"/>
      <name val="Times New Roman"/>
      <family val="1"/>
      <charset val="204"/>
    </font>
    <font>
      <sz val="10"/>
      <name val="Arial"/>
      <family val="2"/>
      <charset val="204"/>
    </font>
    <font>
      <sz val="9"/>
      <name val="Times New Roman CYR"/>
      <charset val="204"/>
    </font>
    <font>
      <b/>
      <sz val="9"/>
      <name val="Times New Roman"/>
      <family val="1"/>
      <charset val="204"/>
    </font>
    <font>
      <b/>
      <i/>
      <sz val="9"/>
      <name val="Times New Roman"/>
      <family val="1"/>
      <charset val="204"/>
    </font>
    <font>
      <b/>
      <sz val="9"/>
      <name val="Times New Roman CYR"/>
      <family val="1"/>
      <charset val="204"/>
    </font>
    <font>
      <b/>
      <sz val="9"/>
      <name val="Times New Roman CYR"/>
      <charset val="204"/>
    </font>
    <font>
      <sz val="9"/>
      <name val="Arial Cyr"/>
      <charset val="204"/>
    </font>
    <font>
      <sz val="10"/>
      <name val="Times New Roman"/>
      <family val="1"/>
      <charset val="204"/>
    </font>
    <font>
      <sz val="6"/>
      <name val="Arial"/>
      <family val="2"/>
      <charset val="204"/>
    </font>
    <font>
      <sz val="8"/>
      <name val="Arial"/>
      <family val="2"/>
      <charset val="204"/>
    </font>
    <font>
      <sz val="8"/>
      <name val="Times New Roman"/>
      <family val="1"/>
      <charset val="204"/>
    </font>
    <font>
      <b/>
      <sz val="14"/>
      <name val="Times New Roman"/>
      <family val="1"/>
      <charset val="204"/>
    </font>
    <font>
      <i/>
      <sz val="9"/>
      <name val="Times New Roman"/>
      <family val="1"/>
      <charset val="204"/>
    </font>
    <font>
      <sz val="9"/>
      <color indexed="8"/>
      <name val="Times New Roman"/>
      <family val="1"/>
      <charset val="204"/>
    </font>
    <font>
      <b/>
      <i/>
      <sz val="9"/>
      <name val="Times New Roman CYR"/>
      <family val="1"/>
      <charset val="204"/>
    </font>
    <font>
      <sz val="9"/>
      <color rgb="FFFF0000"/>
      <name val="Times New Roman"/>
      <family val="1"/>
      <charset val="204"/>
    </font>
    <font>
      <sz val="8"/>
      <name val="Arial Cy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s>
  <borders count="57">
    <border>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style="thin">
        <color indexed="64"/>
      </right>
      <top style="thin">
        <color indexed="64"/>
      </top>
      <bottom/>
      <diagonal/>
    </border>
    <border>
      <left/>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8"/>
      </bottom>
      <diagonal/>
    </border>
  </borders>
  <cellStyleXfs count="2">
    <xf numFmtId="0" fontId="0" fillId="0" borderId="0"/>
    <xf numFmtId="0" fontId="5" fillId="0" borderId="0"/>
  </cellStyleXfs>
  <cellXfs count="677">
    <xf numFmtId="0" fontId="0" fillId="0" borderId="0" xfId="0"/>
    <xf numFmtId="0" fontId="4" fillId="0" borderId="1" xfId="0" applyNumberFormat="1" applyFont="1" applyFill="1" applyBorder="1" applyAlignment="1" applyProtection="1">
      <alignment horizontal="center" vertical="center" wrapText="1" shrinkToFit="1"/>
      <protection locked="0"/>
    </xf>
    <xf numFmtId="0" fontId="9" fillId="0" borderId="3" xfId="0" applyNumberFormat="1" applyFont="1" applyFill="1" applyBorder="1" applyAlignment="1" applyProtection="1">
      <alignment horizontal="center" vertical="center" wrapText="1" shrinkToFit="1"/>
      <protection locked="0"/>
    </xf>
    <xf numFmtId="0" fontId="7" fillId="0" borderId="3" xfId="1" applyNumberFormat="1"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shrinkToFit="1"/>
      <protection locked="0"/>
    </xf>
    <xf numFmtId="0" fontId="8" fillId="0" borderId="3" xfId="1"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shrinkToFit="1"/>
      <protection locked="0"/>
    </xf>
    <xf numFmtId="0"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horizontal="center" vertical="center" wrapText="1" shrinkToFit="1"/>
      <protection locked="0"/>
    </xf>
    <xf numFmtId="0" fontId="7" fillId="0" borderId="5" xfId="0" applyNumberFormat="1" applyFont="1" applyFill="1" applyBorder="1" applyAlignment="1" applyProtection="1">
      <alignment horizontal="center" vertical="center" wrapText="1" shrinkToFit="1"/>
      <protection locked="0"/>
    </xf>
    <xf numFmtId="14" fontId="7" fillId="0" borderId="5" xfId="0" applyNumberFormat="1" applyFont="1" applyFill="1" applyBorder="1" applyAlignment="1" applyProtection="1">
      <alignment horizontal="center" vertical="center" wrapText="1" shrinkToFit="1"/>
      <protection locked="0"/>
    </xf>
    <xf numFmtId="0" fontId="8" fillId="0" borderId="5" xfId="0" applyNumberFormat="1" applyFont="1" applyFill="1" applyBorder="1" applyAlignment="1" applyProtection="1">
      <alignment horizontal="center" vertical="center" wrapText="1" shrinkToFit="1"/>
      <protection locked="0"/>
    </xf>
    <xf numFmtId="0" fontId="9" fillId="0" borderId="5" xfId="0" applyNumberFormat="1" applyFont="1" applyFill="1" applyBorder="1" applyAlignment="1" applyProtection="1">
      <alignment horizontal="center" vertical="center" wrapText="1" shrinkToFit="1"/>
      <protection locked="0"/>
    </xf>
    <xf numFmtId="0" fontId="3" fillId="0" borderId="8" xfId="0" applyNumberFormat="1" applyFont="1" applyFill="1" applyBorder="1" applyAlignment="1" applyProtection="1">
      <alignment horizontal="center" vertical="top" wrapText="1" shrinkToFit="1"/>
      <protection locked="0"/>
    </xf>
    <xf numFmtId="0" fontId="9" fillId="0" borderId="10" xfId="0" applyNumberFormat="1" applyFont="1" applyFill="1" applyBorder="1" applyAlignment="1" applyProtection="1">
      <alignment vertical="center" wrapText="1" shrinkToFit="1"/>
      <protection locked="0"/>
    </xf>
    <xf numFmtId="0" fontId="9" fillId="0" borderId="1" xfId="0" applyNumberFormat="1" applyFont="1" applyFill="1" applyBorder="1" applyAlignment="1" applyProtection="1">
      <alignment vertical="center" wrapText="1" shrinkToFit="1"/>
      <protection locked="0"/>
    </xf>
    <xf numFmtId="0" fontId="9" fillId="0" borderId="8" xfId="0" applyNumberFormat="1" applyFont="1" applyFill="1" applyBorder="1" applyAlignment="1" applyProtection="1">
      <alignment vertical="center" wrapText="1" shrinkToFit="1"/>
      <protection locked="0"/>
    </xf>
    <xf numFmtId="164" fontId="4" fillId="0" borderId="11" xfId="0" applyNumberFormat="1" applyFont="1" applyFill="1" applyBorder="1" applyAlignment="1" applyProtection="1">
      <alignment vertical="top" wrapText="1" readingOrder="1"/>
      <protection locked="0"/>
    </xf>
    <xf numFmtId="0" fontId="6" fillId="0" borderId="4"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11" fillId="0" borderId="1" xfId="0" applyFont="1" applyFill="1" applyBorder="1" applyAlignment="1">
      <alignment horizontal="center" vertical="top"/>
    </xf>
    <xf numFmtId="0" fontId="6" fillId="0" borderId="5"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center" wrapText="1" shrinkToFit="1"/>
      <protection locked="0"/>
    </xf>
    <xf numFmtId="0" fontId="6" fillId="0" borderId="2" xfId="0" applyNumberFormat="1" applyFont="1" applyFill="1" applyBorder="1" applyAlignment="1" applyProtection="1">
      <alignment horizontal="center" vertical="top" wrapText="1" shrinkToFit="1" readingOrder="1"/>
      <protection locked="0"/>
    </xf>
    <xf numFmtId="0" fontId="3" fillId="0" borderId="2" xfId="0" applyNumberFormat="1" applyFont="1" applyFill="1" applyBorder="1" applyAlignment="1" applyProtection="1">
      <alignment horizontal="center" vertical="top" wrapText="1" shrinkToFit="1" readingOrder="1"/>
      <protection locked="0"/>
    </xf>
    <xf numFmtId="14" fontId="3" fillId="0" borderId="2" xfId="0" applyNumberFormat="1" applyFont="1" applyFill="1" applyBorder="1" applyAlignment="1" applyProtection="1">
      <alignment horizontal="center" vertical="top" wrapText="1" shrinkToFit="1" readingOrder="1"/>
      <protection locked="0"/>
    </xf>
    <xf numFmtId="0" fontId="7" fillId="0" borderId="6" xfId="0" applyNumberFormat="1" applyFont="1" applyFill="1" applyBorder="1" applyAlignment="1" applyProtection="1">
      <alignment horizontal="center" vertical="center" wrapText="1" shrinkToFit="1"/>
      <protection locked="0"/>
    </xf>
    <xf numFmtId="14" fontId="7" fillId="0" borderId="6" xfId="0" applyNumberFormat="1" applyFont="1" applyFill="1" applyBorder="1" applyAlignment="1" applyProtection="1">
      <alignment horizontal="center" vertical="center" wrapText="1" shrinkToFit="1"/>
      <protection locked="0"/>
    </xf>
    <xf numFmtId="0" fontId="2" fillId="0" borderId="0" xfId="0" applyFont="1" applyFill="1"/>
    <xf numFmtId="0" fontId="10" fillId="0" borderId="1" xfId="0" applyNumberFormat="1" applyFont="1" applyFill="1" applyBorder="1" applyAlignment="1" applyProtection="1">
      <alignment horizontal="center" vertical="center" wrapText="1"/>
    </xf>
    <xf numFmtId="0" fontId="4" fillId="0" borderId="10" xfId="1" applyNumberFormat="1" applyFont="1" applyFill="1" applyBorder="1" applyAlignment="1">
      <alignment horizontal="center" vertical="center" wrapText="1"/>
    </xf>
    <xf numFmtId="0" fontId="6" fillId="0" borderId="11" xfId="0" applyNumberFormat="1" applyFont="1" applyFill="1" applyBorder="1" applyAlignment="1" applyProtection="1">
      <alignment horizontal="center" vertical="top" wrapText="1" shrinkToFit="1" readingOrder="1"/>
      <protection locked="0"/>
    </xf>
    <xf numFmtId="4" fontId="12" fillId="0" borderId="5" xfId="0" applyNumberFormat="1" applyFont="1" applyFill="1" applyBorder="1"/>
    <xf numFmtId="0" fontId="0" fillId="0" borderId="0" xfId="0" applyFill="1"/>
    <xf numFmtId="0" fontId="7" fillId="0" borderId="11" xfId="0" applyFont="1" applyFill="1" applyBorder="1" applyAlignment="1" applyProtection="1">
      <alignment vertical="top" wrapText="1" readingOrder="1"/>
      <protection locked="0"/>
    </xf>
    <xf numFmtId="164" fontId="7" fillId="0" borderId="11"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readingOrder="1"/>
      <protection locked="0"/>
    </xf>
    <xf numFmtId="0" fontId="7" fillId="0" borderId="3" xfId="0" applyFont="1" applyFill="1" applyBorder="1" applyAlignment="1" applyProtection="1">
      <alignment horizontal="center" vertical="top" wrapText="1" readingOrder="1"/>
      <protection locked="0"/>
    </xf>
    <xf numFmtId="0" fontId="8" fillId="0" borderId="3" xfId="0" applyFont="1" applyFill="1" applyBorder="1" applyAlignment="1" applyProtection="1">
      <alignment vertical="top" wrapText="1" readingOrder="1"/>
      <protection locked="0"/>
    </xf>
    <xf numFmtId="0" fontId="8" fillId="0" borderId="3" xfId="0" applyFont="1" applyFill="1" applyBorder="1" applyAlignment="1" applyProtection="1">
      <alignment horizontal="center" vertical="top" wrapText="1" readingOrder="1"/>
      <protection locked="0"/>
    </xf>
    <xf numFmtId="164" fontId="8" fillId="0" borderId="3" xfId="0" applyNumberFormat="1" applyFont="1" applyFill="1" applyBorder="1" applyAlignment="1" applyProtection="1">
      <alignment vertical="top" wrapText="1" readingOrder="1"/>
      <protection locked="0"/>
    </xf>
    <xf numFmtId="0" fontId="8"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readingOrder="1"/>
      <protection locked="0"/>
    </xf>
    <xf numFmtId="0" fontId="4" fillId="0" borderId="14" xfId="0" applyFont="1" applyFill="1" applyBorder="1" applyAlignment="1" applyProtection="1">
      <alignment horizontal="center" vertical="top" wrapText="1" readingOrder="1"/>
      <protection locked="0"/>
    </xf>
    <xf numFmtId="164" fontId="4" fillId="0" borderId="1"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readingOrder="1"/>
      <protection locked="0"/>
    </xf>
    <xf numFmtId="0" fontId="4" fillId="0" borderId="15"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vertical="top" wrapText="1" readingOrder="1"/>
      <protection locked="0"/>
    </xf>
    <xf numFmtId="0" fontId="7" fillId="0" borderId="5"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top" wrapText="1" readingOrder="1"/>
      <protection locked="0"/>
    </xf>
    <xf numFmtId="164" fontId="4" fillId="0" borderId="2" xfId="0" applyNumberFormat="1" applyFont="1" applyFill="1" applyBorder="1" applyAlignment="1" applyProtection="1">
      <alignment vertical="top" wrapText="1" readingOrder="1"/>
      <protection locked="0"/>
    </xf>
    <xf numFmtId="0" fontId="4" fillId="0" borderId="1" xfId="0" applyFont="1" applyFill="1" applyBorder="1" applyAlignment="1" applyProtection="1">
      <alignment vertical="top" wrapText="1" readingOrder="1"/>
      <protection locked="0"/>
    </xf>
    <xf numFmtId="0" fontId="7" fillId="0" borderId="2" xfId="0" applyFont="1" applyFill="1" applyBorder="1" applyAlignment="1" applyProtection="1">
      <alignment vertical="top" wrapText="1" readingOrder="1"/>
      <protection locked="0"/>
    </xf>
    <xf numFmtId="164" fontId="7" fillId="0" borderId="2" xfId="0" applyNumberFormat="1" applyFont="1" applyFill="1" applyBorder="1" applyAlignment="1" applyProtection="1">
      <alignment vertical="top" wrapText="1" readingOrder="1"/>
      <protection locked="0"/>
    </xf>
    <xf numFmtId="0" fontId="4" fillId="0" borderId="17" xfId="0" applyFont="1" applyFill="1" applyBorder="1" applyAlignment="1" applyProtection="1">
      <alignment horizontal="center" vertical="top" wrapText="1" readingOrder="1"/>
      <protection locked="0"/>
    </xf>
    <xf numFmtId="164" fontId="4" fillId="0" borderId="7" xfId="0" applyNumberFormat="1" applyFont="1" applyFill="1" applyBorder="1" applyAlignment="1" applyProtection="1">
      <alignment vertical="top" wrapText="1" readingOrder="1"/>
      <protection locked="0"/>
    </xf>
    <xf numFmtId="0" fontId="7" fillId="0" borderId="4" xfId="0" applyFont="1" applyFill="1" applyBorder="1" applyAlignment="1" applyProtection="1">
      <alignment horizontal="center" vertical="top" wrapText="1" readingOrder="1"/>
      <protection locked="0"/>
    </xf>
    <xf numFmtId="0" fontId="7" fillId="0" borderId="17" xfId="0" applyFont="1" applyFill="1" applyBorder="1" applyAlignment="1" applyProtection="1">
      <alignment horizontal="center" vertical="top" wrapText="1" readingOrder="1"/>
      <protection locked="0"/>
    </xf>
    <xf numFmtId="14" fontId="4" fillId="0" borderId="2" xfId="0" applyNumberFormat="1" applyFont="1" applyFill="1" applyBorder="1" applyAlignment="1" applyProtection="1">
      <alignment vertical="top" wrapText="1" readingOrder="1"/>
      <protection locked="0"/>
    </xf>
    <xf numFmtId="164" fontId="8" fillId="0" borderId="11" xfId="0" applyNumberFormat="1" applyFont="1" applyFill="1" applyBorder="1" applyAlignment="1" applyProtection="1">
      <alignment vertical="top" wrapText="1" readingOrder="1"/>
      <protection locked="0"/>
    </xf>
    <xf numFmtId="164" fontId="4" fillId="0" borderId="14" xfId="0" applyNumberFormat="1" applyFont="1" applyFill="1" applyBorder="1" applyAlignment="1" applyProtection="1">
      <alignment vertical="top" wrapText="1" readingOrder="1"/>
      <protection locked="0"/>
    </xf>
    <xf numFmtId="164" fontId="4" fillId="0" borderId="18" xfId="0" applyNumberFormat="1" applyFont="1" applyFill="1" applyBorder="1" applyAlignment="1" applyProtection="1">
      <alignment vertical="top"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8" xfId="0" applyFont="1" applyFill="1" applyBorder="1" applyAlignment="1" applyProtection="1">
      <alignment horizontal="center" vertical="top" wrapText="1" readingOrder="1"/>
      <protection locked="0"/>
    </xf>
    <xf numFmtId="164" fontId="7" fillId="0" borderId="18" xfId="0" applyNumberFormat="1" applyFont="1" applyFill="1" applyBorder="1" applyAlignment="1" applyProtection="1">
      <alignment vertical="top" wrapText="1" readingOrder="1"/>
      <protection locked="0"/>
    </xf>
    <xf numFmtId="0" fontId="7" fillId="0" borderId="18" xfId="0" applyFont="1" applyFill="1" applyBorder="1" applyAlignment="1" applyProtection="1">
      <alignment vertical="top" wrapText="1" readingOrder="1"/>
      <protection locked="0"/>
    </xf>
    <xf numFmtId="0" fontId="7" fillId="0" borderId="5" xfId="0" applyFont="1" applyFill="1" applyBorder="1" applyAlignment="1" applyProtection="1">
      <alignment vertical="top" wrapText="1" readingOrder="1"/>
      <protection locked="0"/>
    </xf>
    <xf numFmtId="164" fontId="4" fillId="0" borderId="4" xfId="0" applyNumberFormat="1" applyFont="1" applyFill="1" applyBorder="1" applyAlignment="1" applyProtection="1">
      <alignment vertical="top" wrapText="1" readingOrder="1"/>
      <protection locked="0"/>
    </xf>
    <xf numFmtId="49" fontId="4" fillId="0" borderId="8" xfId="0" applyNumberFormat="1" applyFont="1" applyFill="1" applyBorder="1" applyAlignment="1" applyProtection="1">
      <alignment horizontal="center" vertical="top" wrapText="1" readingOrder="1"/>
      <protection locked="0"/>
    </xf>
    <xf numFmtId="49" fontId="4" fillId="0" borderId="7" xfId="0" applyNumberFormat="1" applyFont="1" applyFill="1" applyBorder="1" applyAlignment="1" applyProtection="1">
      <alignment horizontal="center" vertical="top" wrapText="1" readingOrder="1"/>
      <protection locked="0"/>
    </xf>
    <xf numFmtId="49" fontId="4" fillId="0" borderId="14" xfId="0" applyNumberFormat="1" applyFont="1" applyFill="1" applyBorder="1" applyAlignment="1" applyProtection="1">
      <alignment horizontal="center" vertical="top" wrapText="1" readingOrder="1"/>
      <protection locked="0"/>
    </xf>
    <xf numFmtId="49" fontId="4" fillId="0" borderId="4" xfId="0" applyNumberFormat="1" applyFont="1" applyFill="1" applyBorder="1" applyAlignment="1" applyProtection="1">
      <alignment horizontal="center" vertical="top" wrapText="1" readingOrder="1"/>
      <protection locked="0"/>
    </xf>
    <xf numFmtId="49" fontId="4" fillId="0" borderId="17" xfId="0" applyNumberFormat="1" applyFont="1" applyFill="1" applyBorder="1" applyAlignment="1" applyProtection="1">
      <alignment horizontal="center" vertical="top" wrapText="1" readingOrder="1"/>
      <protection locked="0"/>
    </xf>
    <xf numFmtId="49" fontId="4" fillId="0" borderId="15" xfId="0" applyNumberFormat="1" applyFont="1" applyFill="1" applyBorder="1" applyAlignment="1" applyProtection="1">
      <alignment horizontal="center" vertical="top" wrapText="1" readingOrder="1"/>
      <protection locked="0"/>
    </xf>
    <xf numFmtId="164" fontId="7" fillId="0" borderId="1" xfId="0" applyNumberFormat="1" applyFont="1" applyFill="1" applyBorder="1" applyAlignment="1" applyProtection="1">
      <alignment vertical="top" wrapText="1" readingOrder="1"/>
      <protection locked="0"/>
    </xf>
    <xf numFmtId="0" fontId="7" fillId="0" borderId="1" xfId="0" applyFont="1" applyFill="1" applyBorder="1" applyAlignment="1" applyProtection="1">
      <alignment vertical="top" wrapText="1" readingOrder="1"/>
      <protection locked="0"/>
    </xf>
    <xf numFmtId="0" fontId="7" fillId="0" borderId="20" xfId="0" applyFont="1" applyFill="1" applyBorder="1" applyAlignment="1" applyProtection="1">
      <alignment vertical="top" wrapText="1" readingOrder="1"/>
      <protection locked="0"/>
    </xf>
    <xf numFmtId="0" fontId="7" fillId="0" borderId="15"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protection locked="0"/>
    </xf>
    <xf numFmtId="0" fontId="8" fillId="0" borderId="11" xfId="0" applyFont="1" applyFill="1" applyBorder="1" applyAlignment="1" applyProtection="1">
      <alignment vertical="top" wrapText="1" readingOrder="1"/>
      <protection locked="0"/>
    </xf>
    <xf numFmtId="49" fontId="8" fillId="0" borderId="11" xfId="0" applyNumberFormat="1" applyFont="1" applyFill="1" applyBorder="1" applyAlignment="1" applyProtection="1">
      <alignment horizontal="center" vertical="top" wrapText="1" readingOrder="1"/>
      <protection locked="0"/>
    </xf>
    <xf numFmtId="0" fontId="4" fillId="0" borderId="21" xfId="0" applyFont="1" applyFill="1" applyBorder="1" applyAlignment="1" applyProtection="1">
      <alignment horizontal="center" vertical="top" wrapText="1" readingOrder="1"/>
      <protection locked="0"/>
    </xf>
    <xf numFmtId="0" fontId="8" fillId="0" borderId="5" xfId="0" applyFont="1" applyFill="1" applyBorder="1" applyAlignment="1" applyProtection="1">
      <alignment vertical="top" wrapText="1" readingOrder="1"/>
      <protection locked="0"/>
    </xf>
    <xf numFmtId="166" fontId="8" fillId="0" borderId="5" xfId="0" applyNumberFormat="1" applyFont="1" applyFill="1" applyBorder="1" applyAlignment="1" applyProtection="1">
      <alignment vertical="top" wrapText="1" readingOrder="1"/>
      <protection locked="0"/>
    </xf>
    <xf numFmtId="49" fontId="8" fillId="0" borderId="5" xfId="0" applyNumberFormat="1" applyFont="1" applyFill="1" applyBorder="1" applyAlignment="1" applyProtection="1">
      <alignment horizontal="center" vertical="top" wrapText="1" readingOrder="1"/>
      <protection locked="0"/>
    </xf>
    <xf numFmtId="166" fontId="4" fillId="0" borderId="6" xfId="0" applyNumberFormat="1" applyFont="1" applyFill="1" applyBorder="1" applyAlignment="1" applyProtection="1">
      <alignment vertical="top" wrapText="1" readingOrder="1"/>
      <protection locked="0"/>
    </xf>
    <xf numFmtId="166" fontId="4" fillId="0" borderId="1" xfId="0" applyNumberFormat="1" applyFont="1" applyFill="1" applyBorder="1" applyAlignment="1" applyProtection="1">
      <alignment vertical="top" wrapText="1" readingOrder="1"/>
      <protection locked="0"/>
    </xf>
    <xf numFmtId="166" fontId="4" fillId="0" borderId="18"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protection locked="0"/>
    </xf>
    <xf numFmtId="0" fontId="7" fillId="0" borderId="10" xfId="0" applyFont="1" applyFill="1" applyBorder="1" applyAlignment="1" applyProtection="1">
      <alignment vertical="top" wrapText="1" readingOrder="1"/>
      <protection locked="0"/>
    </xf>
    <xf numFmtId="0" fontId="7" fillId="0" borderId="7" xfId="0" applyFont="1" applyFill="1" applyBorder="1" applyAlignment="1" applyProtection="1">
      <alignment vertical="top" wrapText="1" readingOrder="1"/>
      <protection locked="0"/>
    </xf>
    <xf numFmtId="164" fontId="7" fillId="0" borderId="7" xfId="0" applyNumberFormat="1" applyFont="1" applyFill="1" applyBorder="1" applyAlignment="1" applyProtection="1">
      <alignment vertical="top" wrapText="1" readingOrder="1"/>
      <protection locked="0"/>
    </xf>
    <xf numFmtId="0" fontId="4" fillId="0" borderId="20" xfId="0" applyFont="1" applyFill="1" applyBorder="1" applyAlignment="1" applyProtection="1">
      <alignment vertical="top" wrapText="1" readingOrder="1"/>
      <protection locked="0"/>
    </xf>
    <xf numFmtId="0" fontId="7" fillId="0" borderId="6" xfId="0" applyFont="1" applyFill="1" applyBorder="1" applyAlignment="1" applyProtection="1">
      <alignment vertical="top" wrapText="1" readingOrder="1"/>
      <protection locked="0"/>
    </xf>
    <xf numFmtId="164" fontId="7" fillId="0" borderId="6" xfId="0" applyNumberFormat="1" applyFont="1" applyFill="1" applyBorder="1" applyAlignment="1" applyProtection="1">
      <alignment vertical="top" wrapText="1" readingOrder="1"/>
      <protection locked="0"/>
    </xf>
    <xf numFmtId="164" fontId="7" fillId="0" borderId="5" xfId="0" applyNumberFormat="1" applyFont="1" applyFill="1" applyBorder="1" applyAlignment="1" applyProtection="1">
      <alignment vertical="top" wrapText="1" readingOrder="1"/>
      <protection locked="0"/>
    </xf>
    <xf numFmtId="0" fontId="4" fillId="0" borderId="5" xfId="0" applyFont="1" applyFill="1" applyBorder="1" applyAlignment="1" applyProtection="1">
      <alignment vertical="top" wrapText="1" readingOrder="1"/>
      <protection locked="0"/>
    </xf>
    <xf numFmtId="49" fontId="4" fillId="0" borderId="5" xfId="0" applyNumberFormat="1" applyFont="1" applyFill="1" applyBorder="1" applyAlignment="1" applyProtection="1">
      <alignment horizontal="center" vertical="top" wrapText="1" readingOrder="1"/>
      <protection locked="0"/>
    </xf>
    <xf numFmtId="0" fontId="4" fillId="0" borderId="6" xfId="0" applyFont="1" applyFill="1" applyBorder="1" applyAlignment="1" applyProtection="1">
      <alignment vertical="top" wrapText="1" readingOrder="1"/>
      <protection locked="0"/>
    </xf>
    <xf numFmtId="49" fontId="7" fillId="0" borderId="6" xfId="0" applyNumberFormat="1" applyFont="1" applyFill="1" applyBorder="1" applyAlignment="1" applyProtection="1">
      <alignment horizontal="center" vertical="top" wrapText="1" readingOrder="1"/>
      <protection locked="0"/>
    </xf>
    <xf numFmtId="0" fontId="7" fillId="0" borderId="4" xfId="0" applyFont="1" applyFill="1" applyBorder="1" applyAlignment="1" applyProtection="1">
      <alignment vertical="top" wrapText="1" readingOrder="1"/>
      <protection locked="0"/>
    </xf>
    <xf numFmtId="49" fontId="7" fillId="0" borderId="5" xfId="0" applyNumberFormat="1" applyFont="1" applyFill="1" applyBorder="1" applyAlignment="1" applyProtection="1">
      <alignment horizontal="center" vertical="top" wrapText="1" readingOrder="1"/>
      <protection locked="0"/>
    </xf>
    <xf numFmtId="164" fontId="4" fillId="0" borderId="5" xfId="0" applyNumberFormat="1" applyFont="1" applyFill="1" applyBorder="1" applyAlignment="1" applyProtection="1">
      <alignment vertical="top" wrapText="1" readingOrder="1"/>
      <protection locked="0"/>
    </xf>
    <xf numFmtId="0" fontId="4" fillId="0" borderId="4" xfId="0" applyFont="1" applyFill="1" applyBorder="1" applyAlignment="1" applyProtection="1">
      <alignment vertical="top" wrapText="1" readingOrder="1"/>
      <protection locked="0"/>
    </xf>
    <xf numFmtId="166" fontId="4" fillId="0" borderId="4" xfId="0" applyNumberFormat="1" applyFont="1" applyFill="1" applyBorder="1" applyAlignment="1" applyProtection="1">
      <alignment vertical="top" wrapText="1" readingOrder="1"/>
      <protection locked="0"/>
    </xf>
    <xf numFmtId="0" fontId="4" fillId="0" borderId="3" xfId="0" applyFont="1" applyFill="1" applyBorder="1" applyAlignment="1" applyProtection="1">
      <alignment vertical="top" wrapText="1" readingOrder="1"/>
      <protection locked="0"/>
    </xf>
    <xf numFmtId="0" fontId="8" fillId="0" borderId="7" xfId="0" applyFont="1" applyFill="1" applyBorder="1" applyAlignment="1" applyProtection="1">
      <alignment horizontal="center" vertical="top" wrapText="1" readingOrder="1"/>
      <protection locked="0"/>
    </xf>
    <xf numFmtId="166" fontId="4" fillId="0" borderId="5" xfId="0" applyNumberFormat="1" applyFont="1" applyFill="1" applyBorder="1" applyAlignment="1" applyProtection="1">
      <alignment vertical="top" wrapText="1" readingOrder="1"/>
      <protection locked="0"/>
    </xf>
    <xf numFmtId="165" fontId="4" fillId="0" borderId="3" xfId="0" applyNumberFormat="1" applyFont="1" applyFill="1" applyBorder="1" applyAlignment="1" applyProtection="1">
      <alignment vertical="top" wrapText="1" readingOrder="1"/>
      <protection locked="0"/>
    </xf>
    <xf numFmtId="0" fontId="3" fillId="0" borderId="7" xfId="0" applyNumberFormat="1" applyFont="1" applyFill="1" applyBorder="1" applyAlignment="1" applyProtection="1">
      <alignment horizontal="center" vertical="center" wrapText="1" shrinkToFit="1"/>
      <protection locked="0"/>
    </xf>
    <xf numFmtId="0" fontId="2" fillId="0" borderId="0" xfId="0" applyFont="1" applyFill="1" applyBorder="1"/>
    <xf numFmtId="0" fontId="4" fillId="0" borderId="0" xfId="0" applyFont="1" applyFill="1" applyBorder="1"/>
    <xf numFmtId="0" fontId="7" fillId="0" borderId="0" xfId="0" applyFont="1" applyFill="1" applyBorder="1"/>
    <xf numFmtId="0" fontId="8" fillId="0" borderId="0" xfId="0" applyFont="1" applyFill="1" applyBorder="1"/>
    <xf numFmtId="166" fontId="4" fillId="0" borderId="2" xfId="0" applyNumberFormat="1" applyFont="1" applyFill="1" applyBorder="1" applyAlignment="1" applyProtection="1">
      <alignment vertical="top" wrapText="1" readingOrder="1"/>
      <protection locked="0"/>
    </xf>
    <xf numFmtId="0" fontId="8" fillId="0" borderId="22" xfId="0" applyNumberFormat="1" applyFont="1" applyFill="1" applyBorder="1" applyAlignment="1" applyProtection="1">
      <alignment horizontal="center" vertical="center" wrapText="1" shrinkToFit="1"/>
      <protection locked="0"/>
    </xf>
    <xf numFmtId="0" fontId="8" fillId="0" borderId="5" xfId="0" applyFont="1" applyFill="1" applyBorder="1" applyAlignment="1" applyProtection="1">
      <alignment horizontal="center" vertical="top" wrapText="1" readingOrder="1"/>
      <protection locked="0"/>
    </xf>
    <xf numFmtId="0" fontId="8" fillId="0" borderId="11" xfId="1" applyNumberFormat="1" applyFont="1" applyFill="1" applyBorder="1" applyAlignment="1">
      <alignment horizontal="center" vertical="center" wrapText="1"/>
    </xf>
    <xf numFmtId="0" fontId="8" fillId="0" borderId="11" xfId="0" applyNumberFormat="1" applyFont="1" applyFill="1" applyBorder="1" applyAlignment="1" applyProtection="1">
      <alignment horizontal="center" vertical="center" wrapText="1" shrinkToFit="1"/>
      <protection locked="0"/>
    </xf>
    <xf numFmtId="0" fontId="8" fillId="0" borderId="20" xfId="0" applyNumberFormat="1" applyFont="1" applyFill="1" applyBorder="1" applyAlignment="1" applyProtection="1">
      <alignment horizontal="center" vertical="center" wrapText="1" shrinkToFit="1"/>
      <protection locked="0"/>
    </xf>
    <xf numFmtId="0" fontId="8" fillId="0" borderId="6" xfId="0" applyFont="1" applyFill="1" applyBorder="1" applyAlignment="1" applyProtection="1">
      <alignment horizontal="center" vertical="top" wrapText="1" readingOrder="1"/>
      <protection locked="0"/>
    </xf>
    <xf numFmtId="0" fontId="8" fillId="0" borderId="5" xfId="1" applyNumberFormat="1" applyFont="1" applyFill="1" applyBorder="1" applyAlignment="1">
      <alignment horizontal="center" vertical="center" wrapText="1"/>
    </xf>
    <xf numFmtId="166" fontId="4" fillId="0" borderId="14" xfId="0" applyNumberFormat="1" applyFont="1" applyFill="1" applyBorder="1" applyAlignment="1" applyProtection="1">
      <alignment vertical="top" wrapText="1" readingOrder="1"/>
      <protection locked="0"/>
    </xf>
    <xf numFmtId="49" fontId="12" fillId="0" borderId="5" xfId="0" applyNumberFormat="1" applyFont="1" applyFill="1" applyBorder="1" applyAlignment="1">
      <alignment horizontal="left" vertical="center"/>
    </xf>
    <xf numFmtId="49" fontId="0" fillId="0" borderId="0" xfId="0" applyNumberFormat="1" applyFill="1" applyAlignment="1">
      <alignment horizontal="center" vertical="center"/>
    </xf>
    <xf numFmtId="49" fontId="12" fillId="0" borderId="5" xfId="0" applyNumberFormat="1" applyFont="1" applyFill="1" applyBorder="1" applyAlignment="1">
      <alignment horizontal="left"/>
    </xf>
    <xf numFmtId="0" fontId="1" fillId="0" borderId="0" xfId="0" applyFont="1" applyFill="1"/>
    <xf numFmtId="49" fontId="0" fillId="0" borderId="0" xfId="0" applyNumberFormat="1" applyFill="1" applyAlignment="1">
      <alignment horizontal="left"/>
    </xf>
    <xf numFmtId="49" fontId="0" fillId="0" borderId="0" xfId="0" applyNumberFormat="1" applyFill="1"/>
    <xf numFmtId="166" fontId="14" fillId="0" borderId="0" xfId="0" applyNumberFormat="1" applyFont="1" applyFill="1"/>
    <xf numFmtId="4" fontId="14" fillId="0" borderId="0" xfId="0" applyNumberFormat="1" applyFont="1" applyFill="1"/>
    <xf numFmtId="4" fontId="13" fillId="0" borderId="0" xfId="0" applyNumberFormat="1" applyFont="1" applyFill="1"/>
    <xf numFmtId="14" fontId="3" fillId="0" borderId="7" xfId="0" applyNumberFormat="1" applyFont="1" applyFill="1" applyBorder="1" applyAlignment="1" applyProtection="1">
      <alignment horizontal="center" vertical="center" wrapText="1" shrinkToFit="1"/>
      <protection locked="0"/>
    </xf>
    <xf numFmtId="0" fontId="4" fillId="0" borderId="11" xfId="0" applyNumberFormat="1" applyFont="1" applyFill="1" applyBorder="1" applyAlignment="1" applyProtection="1">
      <alignment horizontal="center" vertical="top" wrapText="1" shrinkToFit="1"/>
      <protection locked="0"/>
    </xf>
    <xf numFmtId="164" fontId="7" fillId="0" borderId="23" xfId="0" applyNumberFormat="1" applyFont="1" applyFill="1" applyBorder="1" applyAlignment="1" applyProtection="1">
      <alignment vertical="top" wrapText="1" readingOrder="1"/>
      <protection locked="0"/>
    </xf>
    <xf numFmtId="49" fontId="4" fillId="0" borderId="24" xfId="0" applyNumberFormat="1" applyFont="1" applyFill="1" applyBorder="1" applyAlignment="1" applyProtection="1">
      <alignment horizontal="center" vertical="top" wrapText="1" readingOrder="1"/>
      <protection locked="0"/>
    </xf>
    <xf numFmtId="166" fontId="4" fillId="0" borderId="10" xfId="0" applyNumberFormat="1" applyFont="1" applyFill="1" applyBorder="1" applyAlignment="1" applyProtection="1">
      <alignment vertical="top" wrapText="1" readingOrder="1"/>
      <protection locked="0"/>
    </xf>
    <xf numFmtId="0" fontId="4" fillId="0" borderId="22" xfId="0" applyFont="1" applyFill="1" applyBorder="1" applyAlignment="1" applyProtection="1">
      <alignment horizontal="center" vertical="top" wrapText="1" readingOrder="1"/>
      <protection locked="0"/>
    </xf>
    <xf numFmtId="49" fontId="4" fillId="0" borderId="25" xfId="0" applyNumberFormat="1" applyFont="1" applyFill="1" applyBorder="1" applyAlignment="1" applyProtection="1">
      <alignment horizontal="center" vertical="top" wrapText="1" readingOrder="1"/>
      <protection locked="0"/>
    </xf>
    <xf numFmtId="0" fontId="7" fillId="0" borderId="22" xfId="0" applyFont="1" applyFill="1" applyBorder="1" applyAlignment="1" applyProtection="1">
      <alignment horizontal="center" vertical="top" wrapText="1" readingOrder="1"/>
      <protection locked="0"/>
    </xf>
    <xf numFmtId="0" fontId="4" fillId="0" borderId="26" xfId="0" applyFont="1" applyFill="1" applyBorder="1" applyAlignment="1" applyProtection="1">
      <alignment horizontal="center" vertical="top" wrapText="1" readingOrder="1"/>
      <protection locked="0"/>
    </xf>
    <xf numFmtId="0" fontId="4" fillId="0" borderId="9" xfId="0" applyFont="1" applyFill="1" applyBorder="1" applyAlignment="1" applyProtection="1">
      <alignment horizontal="center" vertical="top" wrapText="1" readingOrder="1"/>
      <protection locked="0"/>
    </xf>
    <xf numFmtId="0" fontId="7" fillId="0" borderId="27" xfId="0" applyFont="1" applyFill="1" applyBorder="1" applyAlignment="1" applyProtection="1">
      <alignment horizontal="center" vertical="top" wrapText="1" readingOrder="1"/>
      <protection locked="0"/>
    </xf>
    <xf numFmtId="0" fontId="4" fillId="0" borderId="28" xfId="0" applyFont="1" applyFill="1" applyBorder="1" applyAlignment="1" applyProtection="1">
      <alignment horizontal="center" vertical="top" wrapText="1" readingOrder="1"/>
      <protection locked="0"/>
    </xf>
    <xf numFmtId="49" fontId="8" fillId="0" borderId="27" xfId="0" applyNumberFormat="1" applyFont="1" applyFill="1" applyBorder="1" applyAlignment="1" applyProtection="1">
      <alignment horizontal="center" vertical="top" wrapText="1" readingOrder="1"/>
      <protection locked="0"/>
    </xf>
    <xf numFmtId="0" fontId="8" fillId="0" borderId="29" xfId="0" applyFont="1" applyFill="1" applyBorder="1" applyAlignment="1" applyProtection="1">
      <alignment horizontal="center" vertical="top" wrapText="1" readingOrder="1"/>
      <protection locked="0"/>
    </xf>
    <xf numFmtId="49" fontId="4" fillId="0" borderId="16" xfId="0" applyNumberFormat="1" applyFont="1" applyFill="1" applyBorder="1" applyAlignment="1" applyProtection="1">
      <alignment horizontal="center" vertical="top" wrapText="1" readingOrder="1"/>
      <protection locked="0"/>
    </xf>
    <xf numFmtId="49" fontId="4" fillId="0" borderId="28" xfId="0" applyNumberFormat="1" applyFont="1" applyFill="1" applyBorder="1" applyAlignment="1" applyProtection="1">
      <alignment horizontal="center" vertical="top" wrapText="1" readingOrder="1"/>
      <protection locked="0"/>
    </xf>
    <xf numFmtId="0" fontId="7" fillId="0" borderId="9" xfId="0" applyFont="1" applyFill="1" applyBorder="1" applyAlignment="1" applyProtection="1">
      <alignment horizontal="center" vertical="top" wrapText="1" readingOrder="1"/>
      <protection locked="0"/>
    </xf>
    <xf numFmtId="0" fontId="7" fillId="0" borderId="30" xfId="0" applyFont="1" applyFill="1" applyBorder="1" applyAlignment="1" applyProtection="1">
      <alignment horizontal="center" vertical="top" wrapText="1" readingOrder="1"/>
      <protection locked="0"/>
    </xf>
    <xf numFmtId="49" fontId="8" fillId="0" borderId="20" xfId="0" applyNumberFormat="1" applyFont="1" applyFill="1" applyBorder="1" applyAlignment="1" applyProtection="1">
      <alignment horizontal="center" vertical="top" wrapText="1" readingOrder="1"/>
      <protection locked="0"/>
    </xf>
    <xf numFmtId="49" fontId="4" fillId="0" borderId="9" xfId="0" applyNumberFormat="1" applyFont="1" applyFill="1" applyBorder="1" applyAlignment="1" applyProtection="1">
      <alignment horizontal="center" vertical="top" wrapText="1" readingOrder="1"/>
      <protection locked="0"/>
    </xf>
    <xf numFmtId="49" fontId="4" fillId="0" borderId="26" xfId="0" applyNumberFormat="1" applyFont="1" applyFill="1" applyBorder="1" applyAlignment="1" applyProtection="1">
      <alignment horizontal="center" vertical="top" wrapText="1" readingOrder="1"/>
      <protection locked="0"/>
    </xf>
    <xf numFmtId="49" fontId="4" fillId="0" borderId="20" xfId="0" applyNumberFormat="1" applyFont="1" applyFill="1" applyBorder="1" applyAlignment="1" applyProtection="1">
      <alignment horizontal="center" vertical="top" wrapText="1" readingOrder="1"/>
      <protection locked="0"/>
    </xf>
    <xf numFmtId="49" fontId="4" fillId="0" borderId="31" xfId="0" applyNumberFormat="1" applyFont="1" applyFill="1" applyBorder="1" applyAlignment="1" applyProtection="1">
      <alignment horizontal="center" vertical="top" wrapText="1" readingOrder="1"/>
      <protection locked="0"/>
    </xf>
    <xf numFmtId="49" fontId="4" fillId="0" borderId="27" xfId="0" applyNumberFormat="1" applyFont="1" applyFill="1" applyBorder="1" applyAlignment="1" applyProtection="1">
      <alignment horizontal="center" vertical="top" wrapText="1" readingOrder="1"/>
      <protection locked="0"/>
    </xf>
    <xf numFmtId="49" fontId="7" fillId="0" borderId="28" xfId="0" applyNumberFormat="1" applyFont="1" applyFill="1" applyBorder="1" applyAlignment="1" applyProtection="1">
      <alignment horizontal="center" vertical="top" wrapText="1" readingOrder="1"/>
      <protection locked="0"/>
    </xf>
    <xf numFmtId="0" fontId="7" fillId="0" borderId="26" xfId="0"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0" fontId="7" fillId="0" borderId="28" xfId="0" applyFont="1" applyFill="1" applyBorder="1" applyAlignment="1" applyProtection="1">
      <alignment horizontal="center" vertical="top" wrapText="1" readingOrder="1"/>
      <protection locked="0"/>
    </xf>
    <xf numFmtId="165" fontId="7" fillId="0" borderId="14" xfId="0" applyNumberFormat="1" applyFont="1" applyFill="1" applyBorder="1" applyAlignment="1" applyProtection="1">
      <alignment vertical="top" wrapText="1" readingOrder="1"/>
      <protection locked="0"/>
    </xf>
    <xf numFmtId="164" fontId="7" fillId="0" borderId="14" xfId="0" applyNumberFormat="1" applyFont="1" applyFill="1" applyBorder="1" applyAlignment="1" applyProtection="1">
      <alignment vertical="top" wrapText="1" readingOrder="1"/>
      <protection locked="0"/>
    </xf>
    <xf numFmtId="0" fontId="7" fillId="0" borderId="32" xfId="0" applyFont="1" applyFill="1" applyBorder="1" applyAlignment="1" applyProtection="1">
      <alignment vertical="top" wrapText="1" readingOrder="1"/>
      <protection locked="0"/>
    </xf>
    <xf numFmtId="166" fontId="8" fillId="0" borderId="14" xfId="0" applyNumberFormat="1" applyFont="1" applyFill="1" applyBorder="1" applyAlignment="1" applyProtection="1">
      <alignment vertical="top" wrapText="1" readingOrder="1"/>
      <protection locked="0"/>
    </xf>
    <xf numFmtId="165" fontId="4" fillId="0" borderId="14" xfId="0" applyNumberFormat="1" applyFont="1" applyFill="1" applyBorder="1" applyAlignment="1" applyProtection="1">
      <alignment vertical="top" wrapText="1" readingOrder="1"/>
      <protection locked="0"/>
    </xf>
    <xf numFmtId="165" fontId="4" fillId="0" borderId="1" xfId="0" applyNumberFormat="1" applyFont="1" applyFill="1" applyBorder="1" applyAlignment="1" applyProtection="1">
      <alignment vertical="top" wrapText="1" readingOrder="1"/>
      <protection locked="0"/>
    </xf>
    <xf numFmtId="164" fontId="7" fillId="0" borderId="12" xfId="0" applyNumberFormat="1" applyFont="1" applyFill="1" applyBorder="1" applyAlignment="1" applyProtection="1">
      <alignment vertical="top" wrapText="1" readingOrder="1"/>
      <protection locked="0"/>
    </xf>
    <xf numFmtId="164" fontId="4" fillId="0" borderId="12" xfId="0" applyNumberFormat="1" applyFont="1" applyFill="1" applyBorder="1" applyAlignment="1" applyProtection="1">
      <alignment vertical="top" wrapText="1" readingOrder="1"/>
      <protection locked="0"/>
    </xf>
    <xf numFmtId="164" fontId="4" fillId="0" borderId="10" xfId="0" applyNumberFormat="1" applyFont="1" applyFill="1" applyBorder="1" applyAlignment="1" applyProtection="1">
      <alignment vertical="top" wrapText="1" readingOrder="1"/>
      <protection locked="0"/>
    </xf>
    <xf numFmtId="164" fontId="7" fillId="0" borderId="10" xfId="0" applyNumberFormat="1" applyFont="1" applyFill="1" applyBorder="1" applyAlignment="1" applyProtection="1">
      <alignment vertical="top" wrapText="1" readingOrder="1"/>
      <protection locked="0"/>
    </xf>
    <xf numFmtId="164" fontId="4" fillId="0" borderId="34" xfId="0" applyNumberFormat="1" applyFont="1" applyFill="1" applyBorder="1" applyAlignment="1" applyProtection="1">
      <alignment vertical="top" wrapText="1" readingOrder="1"/>
      <protection locked="0"/>
    </xf>
    <xf numFmtId="0" fontId="4" fillId="0" borderId="12" xfId="0" applyFont="1" applyFill="1" applyBorder="1" applyAlignment="1" applyProtection="1">
      <alignment vertical="top" wrapText="1" readingOrder="1"/>
      <protection locked="0"/>
    </xf>
    <xf numFmtId="164" fontId="7" fillId="0" borderId="34" xfId="0" applyNumberFormat="1" applyFont="1" applyFill="1" applyBorder="1" applyAlignment="1" applyProtection="1">
      <alignment vertical="top" wrapText="1" readingOrder="1"/>
      <protection locked="0"/>
    </xf>
    <xf numFmtId="49" fontId="7" fillId="0" borderId="3" xfId="0" applyNumberFormat="1" applyFont="1" applyFill="1" applyBorder="1" applyAlignment="1" applyProtection="1">
      <alignment horizontal="center" vertical="top" wrapText="1" readingOrder="1"/>
      <protection locked="0"/>
    </xf>
    <xf numFmtId="49" fontId="8" fillId="0" borderId="3" xfId="0" applyNumberFormat="1"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center" wrapText="1"/>
    </xf>
    <xf numFmtId="0" fontId="7" fillId="0" borderId="12" xfId="0" applyFont="1" applyFill="1" applyBorder="1" applyAlignment="1" applyProtection="1">
      <alignment vertical="top" wrapText="1" readingOrder="1"/>
      <protection locked="0"/>
    </xf>
    <xf numFmtId="0" fontId="6" fillId="0" borderId="18"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vertical="top" wrapText="1" shrinkToFit="1"/>
      <protection locked="0"/>
    </xf>
    <xf numFmtId="0" fontId="4" fillId="0" borderId="14" xfId="0" applyNumberFormat="1" applyFont="1" applyFill="1" applyBorder="1" applyAlignment="1" applyProtection="1">
      <alignment horizontal="center" vertical="top" wrapText="1" shrinkToFit="1"/>
      <protection locked="0"/>
    </xf>
    <xf numFmtId="14" fontId="4" fillId="0" borderId="21"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14" fontId="3" fillId="0" borderId="35" xfId="0" applyNumberFormat="1" applyFont="1" applyFill="1" applyBorder="1" applyAlignment="1" applyProtection="1">
      <alignment horizontal="center" vertical="top" wrapText="1" shrinkToFit="1"/>
      <protection locked="0"/>
    </xf>
    <xf numFmtId="0" fontId="6" fillId="0" borderId="6" xfId="0" applyNumberFormat="1" applyFont="1" applyFill="1" applyBorder="1" applyAlignment="1" applyProtection="1">
      <alignment horizontal="center" vertical="top" wrapText="1"/>
    </xf>
    <xf numFmtId="14" fontId="4" fillId="0" borderId="11" xfId="0" applyNumberFormat="1" applyFont="1" applyFill="1" applyBorder="1" applyAlignment="1" applyProtection="1">
      <alignment horizontal="center" vertical="top" wrapText="1" shrinkToFit="1"/>
      <protection locked="0"/>
    </xf>
    <xf numFmtId="0" fontId="4" fillId="0" borderId="1" xfId="1" applyNumberFormat="1" applyFont="1" applyFill="1" applyBorder="1" applyAlignment="1">
      <alignment horizontal="center" vertical="top" wrapText="1"/>
    </xf>
    <xf numFmtId="14" fontId="4" fillId="0" borderId="5" xfId="0" applyNumberFormat="1" applyFont="1" applyFill="1" applyBorder="1" applyAlignment="1" applyProtection="1">
      <alignment vertical="top" wrapText="1" readingOrder="1"/>
      <protection locked="0"/>
    </xf>
    <xf numFmtId="0" fontId="4" fillId="0" borderId="36" xfId="0" applyFont="1" applyFill="1" applyBorder="1" applyAlignment="1" applyProtection="1">
      <alignment horizontal="center" vertical="top" wrapText="1" readingOrder="1"/>
      <protection locked="0"/>
    </xf>
    <xf numFmtId="0" fontId="4" fillId="0" borderId="37" xfId="0" applyFont="1" applyFill="1" applyBorder="1" applyAlignment="1" applyProtection="1">
      <alignment vertical="top" wrapText="1" readingOrder="1"/>
      <protection locked="0"/>
    </xf>
    <xf numFmtId="49" fontId="4" fillId="0" borderId="37" xfId="0" applyNumberFormat="1" applyFont="1" applyFill="1" applyBorder="1" applyAlignment="1" applyProtection="1">
      <alignment horizontal="center" vertical="top" wrapText="1" readingOrder="1"/>
      <protection locked="0"/>
    </xf>
    <xf numFmtId="0" fontId="7" fillId="0" borderId="3" xfId="0" applyFont="1" applyFill="1" applyBorder="1" applyAlignment="1" applyProtection="1">
      <alignment vertical="top" wrapText="1"/>
      <protection locked="0"/>
    </xf>
    <xf numFmtId="0" fontId="10"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shrinkToFit="1"/>
      <protection locked="0"/>
    </xf>
    <xf numFmtId="49" fontId="7" fillId="0" borderId="3" xfId="0" applyNumberFormat="1" applyFont="1" applyFill="1" applyBorder="1" applyAlignment="1" applyProtection="1">
      <alignment horizontal="center" vertical="center" wrapText="1" readingOrder="1"/>
      <protection locked="0"/>
    </xf>
    <xf numFmtId="0" fontId="7" fillId="0" borderId="3" xfId="0" applyFont="1" applyFill="1" applyBorder="1" applyAlignment="1" applyProtection="1">
      <alignment horizontal="center" vertical="center" wrapText="1" readingOrder="1"/>
      <protection locked="0"/>
    </xf>
    <xf numFmtId="4" fontId="7" fillId="0" borderId="3" xfId="0" applyNumberFormat="1" applyFont="1" applyFill="1" applyBorder="1" applyAlignment="1" applyProtection="1">
      <alignment horizontal="right" vertical="center" wrapText="1" readingOrder="1"/>
      <protection locked="0"/>
    </xf>
    <xf numFmtId="0" fontId="4" fillId="0" borderId="37" xfId="0" applyFont="1" applyFill="1" applyBorder="1" applyAlignment="1">
      <alignment horizontal="center" vertical="top"/>
    </xf>
    <xf numFmtId="0" fontId="4" fillId="0" borderId="5" xfId="0" applyFont="1" applyFill="1" applyBorder="1" applyAlignment="1">
      <alignment horizontal="center" vertical="top"/>
    </xf>
    <xf numFmtId="14" fontId="4" fillId="0" borderId="7" xfId="0" applyNumberFormat="1" applyFont="1" applyFill="1" applyBorder="1" applyAlignment="1" applyProtection="1">
      <alignment horizontal="center" vertical="top" wrapText="1" shrinkToFit="1"/>
      <protection locked="0"/>
    </xf>
    <xf numFmtId="0" fontId="20" fillId="0" borderId="9" xfId="0" applyFont="1" applyFill="1" applyBorder="1" applyAlignment="1" applyProtection="1">
      <alignment horizontal="center" vertical="top" wrapText="1" readingOrder="1"/>
      <protection locked="0"/>
    </xf>
    <xf numFmtId="0" fontId="20" fillId="0" borderId="0" xfId="0" applyFont="1" applyFill="1" applyBorder="1"/>
    <xf numFmtId="49" fontId="20" fillId="0" borderId="1" xfId="0" applyNumberFormat="1" applyFont="1" applyFill="1" applyBorder="1" applyAlignment="1" applyProtection="1">
      <alignment horizontal="center" vertical="top" wrapText="1" readingOrder="1"/>
      <protection locked="0"/>
    </xf>
    <xf numFmtId="0" fontId="9" fillId="0" borderId="5" xfId="0" applyNumberFormat="1" applyFont="1" applyFill="1" applyBorder="1" applyAlignment="1" applyProtection="1">
      <alignment vertical="center" wrapText="1" shrinkToFit="1"/>
      <protection locked="0"/>
    </xf>
    <xf numFmtId="0" fontId="20" fillId="0" borderId="1" xfId="0" applyNumberFormat="1" applyFont="1" applyFill="1" applyBorder="1" applyAlignment="1" applyProtection="1">
      <alignment vertical="top" wrapText="1" shrinkToFit="1"/>
      <protection locked="0"/>
    </xf>
    <xf numFmtId="49" fontId="20" fillId="0" borderId="9" xfId="0" applyNumberFormat="1" applyFont="1" applyFill="1" applyBorder="1" applyAlignment="1" applyProtection="1">
      <alignment horizontal="center" vertical="top" wrapText="1" readingOrder="1"/>
      <protection locked="0"/>
    </xf>
    <xf numFmtId="166" fontId="20" fillId="0" borderId="1" xfId="0" applyNumberFormat="1" applyFont="1" applyFill="1" applyBorder="1" applyAlignment="1" applyProtection="1">
      <alignment vertical="top" wrapText="1" readingOrder="1"/>
      <protection locked="0"/>
    </xf>
    <xf numFmtId="49" fontId="20" fillId="0" borderId="16" xfId="0" applyNumberFormat="1" applyFont="1" applyFill="1" applyBorder="1" applyAlignment="1" applyProtection="1">
      <alignment horizontal="center" vertical="top" wrapText="1" readingOrder="1"/>
      <protection locked="0"/>
    </xf>
    <xf numFmtId="49" fontId="20" fillId="0" borderId="4" xfId="0" applyNumberFormat="1" applyFont="1" applyFill="1" applyBorder="1" applyAlignment="1" applyProtection="1">
      <alignment horizontal="center" vertical="top" wrapText="1" readingOrder="1"/>
      <protection locked="0"/>
    </xf>
    <xf numFmtId="0" fontId="20" fillId="0" borderId="1" xfId="0" applyFont="1" applyFill="1" applyBorder="1" applyAlignment="1" applyProtection="1">
      <alignment vertical="top" wrapText="1" readingOrder="1"/>
      <protection locked="0"/>
    </xf>
    <xf numFmtId="166" fontId="20" fillId="0" borderId="4" xfId="0" applyNumberFormat="1" applyFont="1" applyFill="1" applyBorder="1" applyAlignment="1" applyProtection="1">
      <alignment vertical="top" wrapText="1" readingOrder="1"/>
      <protection locked="0"/>
    </xf>
    <xf numFmtId="49" fontId="20" fillId="0" borderId="17" xfId="0" applyNumberFormat="1" applyFont="1" applyFill="1" applyBorder="1" applyAlignment="1" applyProtection="1">
      <alignment horizontal="center" vertical="top" wrapText="1" readingOrder="1"/>
      <protection locked="0"/>
    </xf>
    <xf numFmtId="0" fontId="19" fillId="0" borderId="5" xfId="0" applyNumberFormat="1" applyFont="1" applyFill="1" applyBorder="1" applyAlignment="1" applyProtection="1">
      <alignment vertical="center" wrapText="1" shrinkToFit="1"/>
      <protection locked="0"/>
    </xf>
    <xf numFmtId="49" fontId="17" fillId="0" borderId="5" xfId="0" applyNumberFormat="1" applyFont="1" applyFill="1" applyBorder="1" applyAlignment="1" applyProtection="1">
      <alignment horizontal="center" vertical="top" wrapText="1" readingOrder="1"/>
      <protection locked="0"/>
    </xf>
    <xf numFmtId="164" fontId="17" fillId="0" borderId="5" xfId="0" applyNumberFormat="1" applyFont="1" applyFill="1" applyBorder="1" applyAlignment="1" applyProtection="1">
      <alignment vertical="top" wrapText="1" readingOrder="1"/>
      <protection locked="0"/>
    </xf>
    <xf numFmtId="0" fontId="17" fillId="0" borderId="0" xfId="0" applyFont="1" applyFill="1" applyBorder="1"/>
    <xf numFmtId="49" fontId="17" fillId="0" borderId="4" xfId="0" applyNumberFormat="1" applyFont="1" applyFill="1" applyBorder="1" applyAlignment="1" applyProtection="1">
      <alignment horizontal="center" vertical="top" wrapText="1" readingOrder="1"/>
      <protection locked="0"/>
    </xf>
    <xf numFmtId="0" fontId="7" fillId="0" borderId="25" xfId="0"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center" vertical="top" wrapText="1" shrinkToFit="1" readingOrder="1"/>
      <protection locked="0"/>
    </xf>
    <xf numFmtId="0" fontId="3" fillId="0" borderId="5" xfId="1" applyNumberFormat="1" applyFont="1" applyFill="1" applyBorder="1" applyAlignment="1">
      <alignment horizontal="center" vertical="top" wrapText="1" readingOrder="1"/>
    </xf>
    <xf numFmtId="168" fontId="12" fillId="0" borderId="5" xfId="0" applyNumberFormat="1" applyFont="1" applyFill="1" applyBorder="1"/>
    <xf numFmtId="0" fontId="20" fillId="0" borderId="1" xfId="0" applyNumberFormat="1" applyFont="1" applyFill="1" applyBorder="1" applyAlignment="1" applyProtection="1">
      <alignment horizontal="center" vertical="top" wrapText="1" shrinkToFit="1"/>
      <protection locked="0"/>
    </xf>
    <xf numFmtId="0" fontId="20" fillId="0" borderId="1" xfId="0" applyFont="1" applyFill="1" applyBorder="1" applyAlignment="1" applyProtection="1">
      <alignment horizontal="left" vertical="top" wrapText="1" readingOrder="1"/>
      <protection locked="0"/>
    </xf>
    <xf numFmtId="0" fontId="4" fillId="0" borderId="37" xfId="0" applyFont="1" applyFill="1" applyBorder="1" applyAlignment="1" applyProtection="1">
      <alignment horizontal="center" vertical="top" wrapText="1" readingOrder="1"/>
      <protection locked="0"/>
    </xf>
    <xf numFmtId="0" fontId="7" fillId="0" borderId="5" xfId="0" applyNumberFormat="1" applyFont="1" applyFill="1" applyBorder="1" applyAlignment="1" applyProtection="1">
      <alignment horizontal="center" vertical="top" wrapText="1" shrinkToFit="1"/>
      <protection locked="0"/>
    </xf>
    <xf numFmtId="164" fontId="7" fillId="0" borderId="32" xfId="0" applyNumberFormat="1" applyFont="1" applyFill="1" applyBorder="1" applyAlignment="1" applyProtection="1">
      <alignment vertical="top" wrapText="1" readingOrder="1"/>
      <protection locked="0"/>
    </xf>
    <xf numFmtId="164" fontId="8" fillId="0" borderId="32" xfId="0" applyNumberFormat="1" applyFont="1" applyFill="1" applyBorder="1" applyAlignment="1" applyProtection="1">
      <alignment vertical="top" wrapText="1" readingOrder="1"/>
      <protection locked="0"/>
    </xf>
    <xf numFmtId="164" fontId="8" fillId="0" borderId="14" xfId="0" applyNumberFormat="1" applyFont="1" applyFill="1" applyBorder="1" applyAlignment="1" applyProtection="1">
      <alignment vertical="top" wrapText="1" readingOrder="1"/>
      <protection locked="0"/>
    </xf>
    <xf numFmtId="164" fontId="8"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horizontal="left" vertical="top" wrapText="1" readingOrder="1"/>
      <protection locked="0"/>
    </xf>
    <xf numFmtId="0" fontId="4" fillId="0" borderId="3" xfId="0" applyNumberFormat="1" applyFont="1" applyFill="1" applyBorder="1" applyAlignment="1" applyProtection="1">
      <alignment horizontal="center" vertical="top" wrapText="1" shrinkToFit="1"/>
      <protection locked="0"/>
    </xf>
    <xf numFmtId="14" fontId="4" fillId="0" borderId="3" xfId="0" applyNumberFormat="1" applyFont="1" applyFill="1" applyBorder="1" applyAlignment="1" applyProtection="1">
      <alignment horizontal="center" vertical="top" wrapText="1" shrinkToFit="1"/>
      <protection locked="0"/>
    </xf>
    <xf numFmtId="49" fontId="4" fillId="0" borderId="3" xfId="0" applyNumberFormat="1" applyFont="1" applyFill="1" applyBorder="1" applyAlignment="1" applyProtection="1">
      <alignment horizontal="center" vertical="top" wrapText="1" readingOrder="1"/>
      <protection locked="0"/>
    </xf>
    <xf numFmtId="166" fontId="4" fillId="0" borderId="3" xfId="0" applyNumberFormat="1" applyFont="1" applyFill="1" applyBorder="1" applyAlignment="1" applyProtection="1">
      <alignment vertical="top" wrapText="1" readingOrder="1"/>
      <protection locked="0"/>
    </xf>
    <xf numFmtId="49" fontId="4" fillId="0" borderId="40" xfId="0" applyNumberFormat="1" applyFont="1" applyFill="1" applyBorder="1" applyAlignment="1" applyProtection="1">
      <alignment horizontal="center" vertical="top" wrapText="1" readingOrder="1"/>
      <protection locked="0"/>
    </xf>
    <xf numFmtId="49" fontId="4" fillId="0" borderId="41" xfId="0" applyNumberFormat="1" applyFont="1" applyFill="1" applyBorder="1" applyAlignment="1" applyProtection="1">
      <alignment horizontal="center" vertical="top" wrapText="1" readingOrder="1"/>
      <protection locked="0"/>
    </xf>
    <xf numFmtId="49" fontId="4" fillId="0" borderId="18" xfId="0" applyNumberFormat="1" applyFont="1" applyFill="1" applyBorder="1" applyAlignment="1" applyProtection="1">
      <alignment horizontal="center" vertical="top" wrapText="1" readingOrder="1"/>
      <protection locked="0"/>
    </xf>
    <xf numFmtId="49" fontId="4" fillId="0" borderId="30" xfId="0" applyNumberFormat="1" applyFont="1" applyFill="1" applyBorder="1" applyAlignment="1" applyProtection="1">
      <alignment horizontal="center" vertical="top" wrapText="1" readingOrder="1"/>
      <protection locked="0"/>
    </xf>
    <xf numFmtId="49" fontId="4" fillId="0" borderId="21" xfId="0" applyNumberFormat="1" applyFont="1" applyFill="1" applyBorder="1" applyAlignment="1" applyProtection="1">
      <alignment horizontal="center" vertical="top" wrapText="1" readingOrder="1"/>
      <protection locked="0"/>
    </xf>
    <xf numFmtId="166" fontId="7" fillId="0" borderId="3" xfId="0" applyNumberFormat="1" applyFont="1" applyFill="1" applyBorder="1" applyAlignment="1" applyProtection="1">
      <alignment vertical="top" wrapText="1" readingOrder="1"/>
      <protection locked="0"/>
    </xf>
    <xf numFmtId="164" fontId="7" fillId="0" borderId="3" xfId="0" applyNumberFormat="1" applyFont="1" applyFill="1" applyBorder="1" applyAlignment="1" applyProtection="1">
      <alignment vertical="top" wrapText="1" readingOrder="1"/>
      <protection locked="0"/>
    </xf>
    <xf numFmtId="164" fontId="4" fillId="0" borderId="3" xfId="0" applyNumberFormat="1" applyFont="1" applyFill="1" applyBorder="1" applyAlignment="1" applyProtection="1">
      <alignment vertical="top" wrapText="1" readingOrder="1"/>
      <protection locked="0"/>
    </xf>
    <xf numFmtId="14" fontId="4" fillId="0" borderId="11" xfId="0" applyNumberFormat="1" applyFont="1" applyFill="1" applyBorder="1" applyAlignment="1" applyProtection="1">
      <alignment horizontal="center" vertical="center" wrapText="1" shrinkToFit="1"/>
      <protection locked="0"/>
    </xf>
    <xf numFmtId="165" fontId="7" fillId="0" borderId="1" xfId="0" applyNumberFormat="1" applyFont="1" applyFill="1" applyBorder="1" applyAlignment="1" applyProtection="1">
      <alignment vertical="top" wrapText="1" readingOrder="1"/>
      <protection locked="0"/>
    </xf>
    <xf numFmtId="14" fontId="3" fillId="0" borderId="3" xfId="0" applyNumberFormat="1" applyFont="1" applyFill="1" applyBorder="1" applyAlignment="1" applyProtection="1">
      <alignment horizontal="center" vertical="center" wrapText="1" shrinkToFit="1"/>
      <protection locked="0"/>
    </xf>
    <xf numFmtId="165" fontId="7" fillId="0" borderId="3" xfId="0" applyNumberFormat="1" applyFont="1" applyFill="1" applyBorder="1" applyAlignment="1" applyProtection="1">
      <alignment vertical="top" wrapText="1" readingOrder="1"/>
      <protection locked="0"/>
    </xf>
    <xf numFmtId="165" fontId="4" fillId="0" borderId="38" xfId="0" applyNumberFormat="1" applyFont="1" applyFill="1" applyBorder="1" applyAlignment="1" applyProtection="1">
      <alignment vertical="top" wrapText="1" readingOrder="1"/>
      <protection locked="0"/>
    </xf>
    <xf numFmtId="0" fontId="3" fillId="0" borderId="11" xfId="0" applyNumberFormat="1" applyFont="1" applyFill="1" applyBorder="1" applyAlignment="1" applyProtection="1">
      <alignment horizontal="center" vertical="center" wrapText="1" shrinkToFit="1"/>
      <protection locked="0"/>
    </xf>
    <xf numFmtId="14" fontId="3" fillId="0" borderId="11" xfId="0" applyNumberFormat="1" applyFont="1" applyFill="1" applyBorder="1" applyAlignment="1" applyProtection="1">
      <alignment horizontal="center" vertical="center" wrapText="1" shrinkToFit="1"/>
      <protection locked="0"/>
    </xf>
    <xf numFmtId="165" fontId="7" fillId="0" borderId="11" xfId="0" applyNumberFormat="1" applyFont="1" applyFill="1" applyBorder="1" applyAlignment="1" applyProtection="1">
      <alignment vertical="top" wrapText="1" readingOrder="1"/>
      <protection locked="0"/>
    </xf>
    <xf numFmtId="166" fontId="7" fillId="0" borderId="1" xfId="0" applyNumberFormat="1" applyFont="1" applyFill="1" applyBorder="1" applyAlignment="1" applyProtection="1">
      <alignment vertical="top" wrapText="1" readingOrder="1"/>
      <protection locked="0"/>
    </xf>
    <xf numFmtId="0" fontId="9" fillId="0" borderId="3" xfId="0" applyNumberFormat="1" applyFont="1" applyFill="1" applyBorder="1" applyAlignment="1" applyProtection="1">
      <alignment horizontal="center" vertical="top" wrapText="1" shrinkToFit="1"/>
      <protection locked="0"/>
    </xf>
    <xf numFmtId="0" fontId="7" fillId="0" borderId="3" xfId="0" applyNumberFormat="1" applyFont="1" applyFill="1" applyBorder="1" applyAlignment="1" applyProtection="1">
      <alignment horizontal="center" vertical="top" wrapText="1" shrinkToFit="1"/>
      <protection locked="0"/>
    </xf>
    <xf numFmtId="14" fontId="7" fillId="0" borderId="3" xfId="0" applyNumberFormat="1" applyFont="1" applyFill="1" applyBorder="1" applyAlignment="1" applyProtection="1">
      <alignment horizontal="center" vertical="top" wrapText="1" shrinkToFit="1"/>
      <protection locked="0"/>
    </xf>
    <xf numFmtId="0" fontId="9" fillId="0" borderId="11" xfId="0" applyNumberFormat="1" applyFont="1" applyFill="1" applyBorder="1" applyAlignment="1" applyProtection="1">
      <alignment horizontal="center" vertical="top" wrapText="1" shrinkToFit="1"/>
      <protection locked="0"/>
    </xf>
    <xf numFmtId="0" fontId="7" fillId="0" borderId="20" xfId="0" applyNumberFormat="1" applyFont="1" applyFill="1" applyBorder="1" applyAlignment="1" applyProtection="1">
      <alignment horizontal="center" vertical="top" wrapText="1" shrinkToFit="1"/>
      <protection locked="0"/>
    </xf>
    <xf numFmtId="14" fontId="7" fillId="0" borderId="5" xfId="0" applyNumberFormat="1" applyFont="1" applyFill="1" applyBorder="1" applyAlignment="1" applyProtection="1">
      <alignment horizontal="center" vertical="top" wrapText="1" shrinkToFit="1"/>
      <protection locked="0"/>
    </xf>
    <xf numFmtId="0" fontId="7" fillId="0" borderId="42" xfId="0" applyFont="1" applyFill="1" applyBorder="1" applyAlignment="1" applyProtection="1">
      <alignment horizontal="center" vertical="top" wrapText="1" readingOrder="1"/>
      <protection locked="0"/>
    </xf>
    <xf numFmtId="0" fontId="7" fillId="0" borderId="43" xfId="0" applyFont="1" applyFill="1" applyBorder="1" applyAlignment="1" applyProtection="1">
      <alignment horizontal="center" vertical="top" wrapText="1" readingOrder="1"/>
      <protection locked="0"/>
    </xf>
    <xf numFmtId="0" fontId="7" fillId="0" borderId="12" xfId="0" applyFont="1" applyFill="1" applyBorder="1" applyAlignment="1" applyProtection="1">
      <alignment horizontal="center" vertical="top" wrapText="1" readingOrder="1"/>
      <protection locked="0"/>
    </xf>
    <xf numFmtId="0" fontId="7" fillId="0" borderId="3" xfId="1" applyNumberFormat="1" applyFont="1" applyFill="1" applyBorder="1" applyAlignment="1">
      <alignment horizontal="center" vertical="top" wrapText="1"/>
    </xf>
    <xf numFmtId="49" fontId="4" fillId="0" borderId="44" xfId="0" applyNumberFormat="1" applyFont="1" applyFill="1" applyBorder="1" applyAlignment="1" applyProtection="1">
      <alignment horizontal="center" vertical="top" wrapText="1" readingOrder="1"/>
      <protection locked="0"/>
    </xf>
    <xf numFmtId="0" fontId="9" fillId="0" borderId="2" xfId="0" applyNumberFormat="1" applyFont="1" applyFill="1" applyBorder="1" applyAlignment="1" applyProtection="1">
      <alignment horizontal="center" vertical="top" wrapText="1" shrinkToFit="1"/>
      <protection locked="0"/>
    </xf>
    <xf numFmtId="14" fontId="9" fillId="0" borderId="2" xfId="0" applyNumberFormat="1" applyFont="1" applyFill="1" applyBorder="1" applyAlignment="1" applyProtection="1">
      <alignment horizontal="center" vertical="top" wrapText="1" shrinkToFit="1"/>
      <protection locked="0"/>
    </xf>
    <xf numFmtId="0" fontId="7" fillId="0" borderId="2" xfId="0" applyNumberFormat="1" applyFont="1" applyFill="1" applyBorder="1" applyAlignment="1" applyProtection="1">
      <alignment horizontal="center" vertical="top" wrapText="1" shrinkToFit="1"/>
      <protection locked="0"/>
    </xf>
    <xf numFmtId="0" fontId="4" fillId="0" borderId="12" xfId="0" applyFont="1" applyFill="1" applyBorder="1" applyAlignment="1" applyProtection="1">
      <alignment horizontal="center" vertical="top" wrapText="1" readingOrder="1"/>
      <protection locked="0"/>
    </xf>
    <xf numFmtId="0" fontId="4" fillId="0" borderId="34" xfId="0" applyFont="1" applyFill="1" applyBorder="1" applyAlignment="1" applyProtection="1">
      <alignment horizontal="center" vertical="top" wrapText="1" readingOrder="1"/>
      <protection locked="0"/>
    </xf>
    <xf numFmtId="164" fontId="4" fillId="0" borderId="6" xfId="0" applyNumberFormat="1" applyFont="1" applyFill="1" applyBorder="1" applyAlignment="1" applyProtection="1">
      <alignment vertical="top" wrapText="1" readingOrder="1"/>
      <protection locked="0"/>
    </xf>
    <xf numFmtId="4" fontId="4" fillId="0" borderId="5" xfId="0" applyNumberFormat="1" applyFont="1" applyFill="1" applyBorder="1" applyAlignment="1" applyProtection="1">
      <alignment vertical="top" wrapText="1" readingOrder="1"/>
      <protection locked="0"/>
    </xf>
    <xf numFmtId="164" fontId="4" fillId="0" borderId="37" xfId="0" applyNumberFormat="1" applyFont="1" applyFill="1" applyBorder="1" applyAlignment="1" applyProtection="1">
      <alignment vertical="top" wrapText="1" readingOrder="1"/>
      <protection locked="0"/>
    </xf>
    <xf numFmtId="164" fontId="4" fillId="0" borderId="45" xfId="0" applyNumberFormat="1" applyFont="1" applyFill="1" applyBorder="1" applyAlignment="1" applyProtection="1">
      <alignment vertical="top" wrapText="1" readingOrder="1"/>
      <protection locked="0"/>
    </xf>
    <xf numFmtId="166" fontId="4" fillId="0" borderId="38" xfId="0" applyNumberFormat="1" applyFont="1" applyFill="1" applyBorder="1" applyAlignment="1" applyProtection="1">
      <alignment vertical="top" wrapText="1" readingOrder="1"/>
      <protection locked="0"/>
    </xf>
    <xf numFmtId="0" fontId="6" fillId="0" borderId="46" xfId="0" applyNumberFormat="1" applyFont="1" applyFill="1" applyBorder="1" applyAlignment="1" applyProtection="1">
      <alignment horizontal="center" vertical="center" wrapText="1" shrinkToFit="1"/>
      <protection locked="0"/>
    </xf>
    <xf numFmtId="0" fontId="6" fillId="0" borderId="4" xfId="0" applyNumberFormat="1" applyFont="1" applyFill="1" applyBorder="1" applyAlignment="1" applyProtection="1">
      <alignment horizontal="center" vertical="center" wrapText="1" shrinkToFit="1"/>
      <protection locked="0"/>
    </xf>
    <xf numFmtId="0" fontId="6" fillId="0" borderId="47" xfId="0" applyNumberFormat="1"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vertical="top" wrapText="1" readingOrder="1"/>
      <protection locked="0"/>
    </xf>
    <xf numFmtId="0" fontId="4" fillId="0" borderId="23" xfId="0" applyFont="1" applyFill="1" applyBorder="1" applyAlignment="1">
      <alignment horizontal="center" vertical="top"/>
    </xf>
    <xf numFmtId="0" fontId="3" fillId="0" borderId="1" xfId="0" applyNumberFormat="1" applyFont="1" applyFill="1" applyBorder="1" applyAlignment="1" applyProtection="1">
      <alignment vertical="top" wrapText="1" shrinkToFit="1"/>
      <protection locked="0"/>
    </xf>
    <xf numFmtId="0" fontId="6" fillId="0" borderId="1" xfId="0" applyNumberFormat="1" applyFont="1" applyFill="1" applyBorder="1" applyAlignment="1" applyProtection="1">
      <alignment vertical="top" wrapText="1" shrinkToFit="1"/>
      <protection locked="0"/>
    </xf>
    <xf numFmtId="0" fontId="6" fillId="0" borderId="18" xfId="0" applyNumberFormat="1" applyFont="1" applyFill="1" applyBorder="1" applyAlignment="1" applyProtection="1">
      <alignment vertical="top" wrapText="1" shrinkToFit="1"/>
      <protection locked="0"/>
    </xf>
    <xf numFmtId="166" fontId="7" fillId="0" borderId="7" xfId="0" applyNumberFormat="1" applyFont="1" applyFill="1" applyBorder="1" applyAlignment="1" applyProtection="1">
      <alignment vertical="top" wrapText="1" readingOrder="1"/>
      <protection locked="0"/>
    </xf>
    <xf numFmtId="0" fontId="17" fillId="0" borderId="1" xfId="0" applyFont="1" applyFill="1" applyBorder="1" applyAlignment="1" applyProtection="1">
      <alignment vertical="top" wrapText="1" readingOrder="1"/>
      <protection locked="0"/>
    </xf>
    <xf numFmtId="0" fontId="17" fillId="0" borderId="4" xfId="0" applyFont="1" applyFill="1" applyBorder="1" applyAlignment="1" applyProtection="1">
      <alignment vertical="top" wrapText="1" readingOrder="1"/>
      <protection locked="0"/>
    </xf>
    <xf numFmtId="0" fontId="4" fillId="0" borderId="23" xfId="0" applyFont="1" applyFill="1" applyBorder="1" applyAlignment="1" applyProtection="1">
      <alignment horizontal="center" vertical="top" wrapText="1" readingOrder="1"/>
      <protection locked="0"/>
    </xf>
    <xf numFmtId="0" fontId="7" fillId="0" borderId="10" xfId="0" applyFont="1" applyFill="1" applyBorder="1" applyAlignment="1" applyProtection="1">
      <alignment horizontal="center" vertical="top" wrapText="1" readingOrder="1"/>
      <protection locked="0"/>
    </xf>
    <xf numFmtId="0" fontId="7" fillId="0" borderId="34" xfId="0" applyFont="1" applyFill="1" applyBorder="1" applyAlignment="1" applyProtection="1">
      <alignment horizontal="center" vertical="top" wrapText="1" readingOrder="1"/>
      <protection locked="0"/>
    </xf>
    <xf numFmtId="0" fontId="2" fillId="0" borderId="0" xfId="0" applyFont="1" applyFill="1" applyAlignment="1">
      <alignment horizontal="center" vertical="top"/>
    </xf>
    <xf numFmtId="0" fontId="17" fillId="0" borderId="18" xfId="0" applyFont="1" applyFill="1" applyBorder="1" applyAlignment="1" applyProtection="1">
      <alignment vertical="top" wrapText="1" readingOrder="1"/>
      <protection locked="0"/>
    </xf>
    <xf numFmtId="0" fontId="3" fillId="0" borderId="17"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lignment horizontal="center" vertical="top"/>
    </xf>
    <xf numFmtId="0" fontId="6" fillId="0" borderId="23" xfId="0" applyNumberFormat="1" applyFont="1" applyFill="1" applyBorder="1" applyAlignment="1" applyProtection="1">
      <alignment horizontal="center" vertical="top" wrapText="1" shrinkToFit="1"/>
      <protection locked="0"/>
    </xf>
    <xf numFmtId="0" fontId="4" fillId="0" borderId="1" xfId="0" applyNumberFormat="1" applyFont="1" applyFill="1" applyBorder="1" applyAlignment="1" applyProtection="1">
      <alignment vertical="top" wrapText="1" shrinkToFit="1"/>
      <protection locked="0"/>
    </xf>
    <xf numFmtId="0" fontId="4" fillId="0" borderId="12" xfId="0" applyNumberFormat="1" applyFont="1" applyFill="1" applyBorder="1" applyAlignment="1" applyProtection="1">
      <alignment horizontal="center" vertical="top" wrapText="1" shrinkToFit="1"/>
      <protection locked="0"/>
    </xf>
    <xf numFmtId="0" fontId="4" fillId="0" borderId="21" xfId="0" applyNumberFormat="1" applyFont="1" applyFill="1" applyBorder="1" applyAlignment="1" applyProtection="1">
      <alignment horizontal="center" vertical="top" wrapText="1" shrinkToFit="1"/>
      <protection locked="0"/>
    </xf>
    <xf numFmtId="0" fontId="3" fillId="0" borderId="40"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vertical="center" wrapText="1" shrinkToFit="1"/>
      <protection locked="0"/>
    </xf>
    <xf numFmtId="0" fontId="3" fillId="0" borderId="8" xfId="0" applyNumberFormat="1" applyFont="1" applyFill="1" applyBorder="1" applyAlignment="1" applyProtection="1">
      <alignment vertical="center" wrapText="1" shrinkToFit="1"/>
      <protection locked="0"/>
    </xf>
    <xf numFmtId="0" fontId="4" fillId="0" borderId="2" xfId="1" applyNumberFormat="1" applyFont="1" applyFill="1" applyBorder="1" applyAlignment="1">
      <alignment horizontal="center" vertical="top" wrapText="1"/>
    </xf>
    <xf numFmtId="14" fontId="6" fillId="0" borderId="5" xfId="0" applyNumberFormat="1" applyFont="1" applyFill="1" applyBorder="1" applyAlignment="1" applyProtection="1">
      <alignment horizontal="center" vertical="top" wrapText="1" shrinkToFit="1"/>
      <protection locked="0"/>
    </xf>
    <xf numFmtId="0" fontId="3" fillId="0" borderId="37" xfId="0" applyNumberFormat="1" applyFont="1" applyFill="1" applyBorder="1" applyAlignment="1" applyProtection="1">
      <alignment horizontal="center" vertical="top" wrapText="1" shrinkToFit="1"/>
      <protection locked="0"/>
    </xf>
    <xf numFmtId="0" fontId="6" fillId="0" borderId="18" xfId="1" applyFont="1" applyFill="1" applyBorder="1" applyAlignment="1">
      <alignment horizontal="center" vertical="top" wrapText="1"/>
    </xf>
    <xf numFmtId="0" fontId="4" fillId="0" borderId="11" xfId="1" applyNumberFormat="1" applyFont="1" applyFill="1" applyBorder="1" applyAlignment="1">
      <alignment horizontal="center" vertical="top" wrapText="1"/>
    </xf>
    <xf numFmtId="0" fontId="3" fillId="0" borderId="28" xfId="0" applyNumberFormat="1" applyFont="1" applyFill="1" applyBorder="1" applyAlignment="1" applyProtection="1">
      <alignment horizontal="center" vertical="center" wrapText="1" shrinkToFit="1"/>
      <protection locked="0"/>
    </xf>
    <xf numFmtId="0" fontId="3" fillId="0" borderId="48" xfId="0" applyNumberFormat="1" applyFont="1" applyFill="1" applyBorder="1" applyAlignment="1" applyProtection="1">
      <alignment horizontal="center" vertical="top" wrapText="1" shrinkToFit="1"/>
      <protection locked="0"/>
    </xf>
    <xf numFmtId="0" fontId="3" fillId="0" borderId="42" xfId="0" applyNumberFormat="1" applyFont="1" applyFill="1" applyBorder="1" applyAlignment="1" applyProtection="1">
      <alignment horizontal="center" vertical="top" wrapText="1" shrinkToFit="1"/>
      <protection locked="0"/>
    </xf>
    <xf numFmtId="14" fontId="3" fillId="0" borderId="42" xfId="0" applyNumberFormat="1" applyFont="1" applyFill="1" applyBorder="1" applyAlignment="1" applyProtection="1">
      <alignment horizontal="center" vertical="top" wrapText="1" shrinkToFit="1"/>
      <protection locked="0"/>
    </xf>
    <xf numFmtId="0" fontId="3" fillId="0" borderId="38" xfId="0" applyNumberFormat="1" applyFont="1" applyFill="1" applyBorder="1" applyAlignment="1" applyProtection="1">
      <alignment horizontal="center" vertical="top" wrapText="1" shrinkToFit="1"/>
      <protection locked="0"/>
    </xf>
    <xf numFmtId="0" fontId="3" fillId="0" borderId="32" xfId="0" applyNumberFormat="1" applyFont="1" applyFill="1" applyBorder="1" applyAlignment="1" applyProtection="1">
      <alignment horizontal="center" vertical="top" wrapText="1" shrinkToFit="1"/>
      <protection locked="0"/>
    </xf>
    <xf numFmtId="0" fontId="3" fillId="0" borderId="49" xfId="0" applyNumberFormat="1" applyFont="1" applyFill="1" applyBorder="1" applyAlignment="1" applyProtection="1">
      <alignment horizontal="center" vertical="top" wrapText="1" shrinkToFit="1"/>
      <protection locked="0"/>
    </xf>
    <xf numFmtId="14" fontId="3" fillId="0" borderId="32" xfId="0" applyNumberFormat="1" applyFont="1" applyFill="1" applyBorder="1" applyAlignment="1" applyProtection="1">
      <alignment horizontal="center" vertical="top" wrapText="1" shrinkToFit="1"/>
      <protection locked="0"/>
    </xf>
    <xf numFmtId="14" fontId="3" fillId="0" borderId="18" xfId="0" applyNumberFormat="1" applyFont="1" applyFill="1" applyBorder="1" applyAlignment="1" applyProtection="1">
      <alignment horizontal="center" vertical="top" wrapText="1" shrinkToFit="1"/>
      <protection locked="0"/>
    </xf>
    <xf numFmtId="14" fontId="3" fillId="0" borderId="19"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4" fillId="0" borderId="32" xfId="0" applyNumberFormat="1" applyFont="1" applyFill="1" applyBorder="1" applyAlignment="1" applyProtection="1">
      <alignment horizontal="center" vertical="top" wrapText="1" shrinkToFit="1"/>
      <protection locked="0"/>
    </xf>
    <xf numFmtId="14" fontId="4" fillId="0" borderId="49" xfId="0" applyNumberFormat="1" applyFont="1" applyFill="1" applyBorder="1" applyAlignment="1" applyProtection="1">
      <alignment horizontal="center" vertical="top" wrapText="1" shrinkToFit="1"/>
      <protection locked="0"/>
    </xf>
    <xf numFmtId="14" fontId="3" fillId="0" borderId="8" xfId="0" applyNumberFormat="1" applyFont="1" applyFill="1" applyBorder="1" applyAlignment="1" applyProtection="1">
      <alignment horizontal="center" vertical="top" wrapText="1" shrinkToFit="1"/>
      <protection locked="0"/>
    </xf>
    <xf numFmtId="0" fontId="3" fillId="0" borderId="5" xfId="1" applyNumberFormat="1" applyFont="1" applyFill="1" applyBorder="1" applyAlignment="1">
      <alignment horizontal="center" vertical="top" wrapText="1"/>
    </xf>
    <xf numFmtId="0" fontId="3" fillId="0" borderId="7" xfId="1" applyNumberFormat="1" applyFont="1" applyFill="1" applyBorder="1" applyAlignment="1">
      <alignment horizontal="center" vertical="top" wrapText="1"/>
    </xf>
    <xf numFmtId="0" fontId="4" fillId="0" borderId="37" xfId="0" applyNumberFormat="1" applyFont="1" applyFill="1" applyBorder="1" applyAlignment="1" applyProtection="1">
      <alignment horizontal="center" vertical="top" wrapText="1" shrinkToFit="1"/>
      <protection locked="0"/>
    </xf>
    <xf numFmtId="0" fontId="4" fillId="0" borderId="6" xfId="0" applyNumberFormat="1" applyFont="1" applyFill="1" applyBorder="1" applyAlignment="1" applyProtection="1">
      <alignment horizontal="center" vertical="center" wrapText="1" shrinkToFit="1"/>
      <protection locked="0"/>
    </xf>
    <xf numFmtId="0" fontId="4" fillId="0" borderId="4" xfId="0" applyNumberFormat="1" applyFont="1" applyFill="1" applyBorder="1" applyAlignment="1" applyProtection="1">
      <alignment horizontal="center" vertical="center" wrapText="1" shrinkToFit="1"/>
      <protection locked="0"/>
    </xf>
    <xf numFmtId="0" fontId="4" fillId="0" borderId="40" xfId="0" applyNumberFormat="1" applyFont="1" applyFill="1" applyBorder="1" applyAlignment="1" applyProtection="1">
      <alignment horizontal="center" vertical="top" wrapText="1" shrinkToFit="1"/>
      <protection locked="0"/>
    </xf>
    <xf numFmtId="0" fontId="4" fillId="0" borderId="18" xfId="0" applyFont="1" applyFill="1" applyBorder="1" applyAlignment="1" applyProtection="1">
      <alignment vertical="top" wrapText="1" readingOrder="1"/>
      <protection locked="0"/>
    </xf>
    <xf numFmtId="14" fontId="4" fillId="0" borderId="16" xfId="0" applyNumberFormat="1" applyFont="1" applyFill="1" applyBorder="1" applyAlignment="1" applyProtection="1">
      <alignment horizontal="center" vertical="top" wrapText="1" shrinkToFit="1"/>
      <protection locked="0"/>
    </xf>
    <xf numFmtId="166" fontId="7" fillId="0" borderId="18" xfId="0" applyNumberFormat="1" applyFont="1" applyFill="1" applyBorder="1" applyAlignment="1" applyProtection="1">
      <alignment vertical="top" wrapText="1" readingOrder="1"/>
      <protection locked="0"/>
    </xf>
    <xf numFmtId="0" fontId="3" fillId="0" borderId="16" xfId="0" applyNumberFormat="1" applyFont="1" applyFill="1" applyBorder="1" applyAlignment="1" applyProtection="1">
      <alignment horizontal="center" vertical="center" wrapText="1" shrinkToFit="1"/>
      <protection locked="0"/>
    </xf>
    <xf numFmtId="4" fontId="4" fillId="0" borderId="6" xfId="0" applyNumberFormat="1" applyFont="1" applyFill="1" applyBorder="1" applyAlignment="1" applyProtection="1">
      <alignment vertical="top" wrapText="1" readingOrder="1"/>
      <protection locked="0"/>
    </xf>
    <xf numFmtId="0" fontId="18" fillId="0" borderId="5" xfId="0" applyFont="1" applyFill="1" applyBorder="1" applyAlignment="1">
      <alignment horizontal="center" vertical="center" wrapText="1"/>
    </xf>
    <xf numFmtId="166" fontId="7" fillId="0" borderId="6" xfId="0" applyNumberFormat="1" applyFont="1" applyFill="1" applyBorder="1" applyAlignment="1" applyProtection="1">
      <alignment vertical="top" wrapText="1" readingOrder="1"/>
      <protection locked="0"/>
    </xf>
    <xf numFmtId="49" fontId="7" fillId="0" borderId="4" xfId="0" applyNumberFormat="1" applyFont="1" applyFill="1" applyBorder="1" applyAlignment="1" applyProtection="1">
      <alignment horizontal="center" vertical="top" wrapText="1" readingOrder="1"/>
      <protection locked="0"/>
    </xf>
    <xf numFmtId="166" fontId="7" fillId="0" borderId="4" xfId="0" applyNumberFormat="1" applyFont="1" applyFill="1" applyBorder="1" applyAlignment="1" applyProtection="1">
      <alignment vertical="top" wrapText="1" readingOrder="1"/>
      <protection locked="0"/>
    </xf>
    <xf numFmtId="0" fontId="6" fillId="0" borderId="2" xfId="0" applyNumberFormat="1" applyFont="1" applyFill="1" applyBorder="1" applyAlignment="1" applyProtection="1">
      <alignment horizontal="center" vertical="center" wrapText="1" shrinkToFit="1"/>
      <protection locked="0"/>
    </xf>
    <xf numFmtId="0" fontId="7" fillId="0" borderId="23" xfId="0" applyFont="1" applyFill="1" applyBorder="1" applyAlignment="1" applyProtection="1">
      <alignment horizontal="left" vertical="top" wrapText="1" readingOrder="1"/>
      <protection locked="0"/>
    </xf>
    <xf numFmtId="49" fontId="4" fillId="0" borderId="23" xfId="0" applyNumberFormat="1" applyFont="1" applyFill="1" applyBorder="1" applyAlignment="1" applyProtection="1">
      <alignment horizontal="center" vertical="top" wrapText="1" readingOrder="1"/>
      <protection locked="0"/>
    </xf>
    <xf numFmtId="164" fontId="4" fillId="0" borderId="23" xfId="0" applyNumberFormat="1" applyFont="1" applyFill="1" applyBorder="1" applyAlignment="1" applyProtection="1">
      <alignment vertical="top" wrapText="1" readingOrder="1"/>
      <protection locked="0"/>
    </xf>
    <xf numFmtId="165" fontId="4" fillId="0" borderId="2" xfId="0" applyNumberFormat="1" applyFont="1" applyFill="1" applyBorder="1" applyAlignment="1" applyProtection="1">
      <alignment vertical="top" wrapText="1" readingOrder="1"/>
      <protection locked="0"/>
    </xf>
    <xf numFmtId="49" fontId="4" fillId="0" borderId="10" xfId="0" applyNumberFormat="1" applyFont="1" applyFill="1" applyBorder="1" applyAlignment="1" applyProtection="1">
      <alignment horizontal="center" vertical="top" wrapText="1" readingOrder="1"/>
      <protection locked="0"/>
    </xf>
    <xf numFmtId="49" fontId="20" fillId="0" borderId="18" xfId="0" applyNumberFormat="1" applyFont="1" applyFill="1" applyBorder="1" applyAlignment="1" applyProtection="1">
      <alignment horizontal="center" vertical="top" wrapText="1" readingOrder="1"/>
      <protection locked="0"/>
    </xf>
    <xf numFmtId="49" fontId="20" fillId="0" borderId="30" xfId="0" applyNumberFormat="1" applyFont="1" applyFill="1" applyBorder="1" applyAlignment="1" applyProtection="1">
      <alignment horizontal="center" vertical="top" wrapText="1" readingOrder="1"/>
      <protection locked="0"/>
    </xf>
    <xf numFmtId="166" fontId="20" fillId="0" borderId="18" xfId="0" applyNumberFormat="1" applyFont="1" applyFill="1" applyBorder="1" applyAlignment="1" applyProtection="1">
      <alignment vertical="top" wrapText="1" readingOrder="1"/>
      <protection locked="0"/>
    </xf>
    <xf numFmtId="0" fontId="4" fillId="0" borderId="23" xfId="0" applyNumberFormat="1" applyFont="1" applyFill="1" applyBorder="1" applyAlignment="1" applyProtection="1">
      <alignment horizontal="center" vertical="center" wrapText="1" shrinkToFit="1"/>
      <protection locked="0"/>
    </xf>
    <xf numFmtId="0" fontId="4" fillId="0" borderId="23" xfId="0" applyNumberFormat="1" applyFont="1" applyFill="1" applyBorder="1" applyAlignment="1" applyProtection="1">
      <alignment horizontal="center" vertical="top" wrapText="1" shrinkToFit="1"/>
      <protection locked="0"/>
    </xf>
    <xf numFmtId="165" fontId="4" fillId="0" borderId="5" xfId="0" applyNumberFormat="1" applyFont="1" applyFill="1" applyBorder="1" applyAlignment="1" applyProtection="1">
      <alignment vertical="top" wrapText="1" readingOrder="1"/>
      <protection locked="0"/>
    </xf>
    <xf numFmtId="0" fontId="7" fillId="0" borderId="5" xfId="0" applyFont="1" applyFill="1" applyBorder="1" applyAlignment="1" applyProtection="1">
      <alignment horizontal="left" vertical="top" wrapText="1" readingOrder="1"/>
      <protection locked="0"/>
    </xf>
    <xf numFmtId="4" fontId="12" fillId="2" borderId="5" xfId="0" applyNumberFormat="1" applyFont="1" applyFill="1" applyBorder="1"/>
    <xf numFmtId="0" fontId="0" fillId="2" borderId="0" xfId="0" applyFill="1"/>
    <xf numFmtId="165" fontId="4" fillId="0" borderId="0" xfId="0" applyNumberFormat="1" applyFont="1" applyFill="1" applyBorder="1"/>
    <xf numFmtId="49" fontId="7" fillId="0" borderId="1" xfId="0" applyNumberFormat="1" applyFont="1" applyFill="1" applyBorder="1" applyAlignment="1" applyProtection="1">
      <alignment horizontal="center" vertical="top" wrapText="1" readingOrder="1"/>
      <protection locked="0"/>
    </xf>
    <xf numFmtId="0" fontId="6" fillId="0" borderId="16"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vertical="top" wrapText="1" shrinkToFit="1"/>
      <protection locked="0"/>
    </xf>
    <xf numFmtId="0" fontId="4" fillId="0" borderId="3" xfId="0" applyNumberFormat="1" applyFont="1" applyFill="1" applyBorder="1" applyAlignment="1" applyProtection="1">
      <alignment horizontal="center" vertical="center" wrapText="1" shrinkToFit="1"/>
      <protection locked="0"/>
    </xf>
    <xf numFmtId="14" fontId="4" fillId="0" borderId="3" xfId="0" applyNumberFormat="1" applyFont="1" applyFill="1" applyBorder="1" applyAlignment="1" applyProtection="1">
      <alignment horizontal="center" vertical="center" wrapText="1" shrinkToFit="1"/>
      <protection locked="0"/>
    </xf>
    <xf numFmtId="0" fontId="4" fillId="0" borderId="26"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vertical="top" wrapText="1" shrinkToFit="1"/>
      <protection locked="0"/>
    </xf>
    <xf numFmtId="166" fontId="7" fillId="0" borderId="5" xfId="0" applyNumberFormat="1" applyFont="1" applyFill="1" applyBorder="1" applyAlignment="1" applyProtection="1">
      <alignment vertical="top" wrapText="1" readingOrder="1"/>
      <protection locked="0"/>
    </xf>
    <xf numFmtId="49" fontId="20" fillId="0" borderId="5" xfId="0" applyNumberFormat="1" applyFont="1" applyFill="1" applyBorder="1" applyAlignment="1" applyProtection="1">
      <alignment horizontal="center" vertical="top" wrapText="1" readingOrder="1"/>
      <protection locked="0"/>
    </xf>
    <xf numFmtId="166" fontId="20" fillId="0" borderId="5" xfId="0" applyNumberFormat="1" applyFont="1" applyFill="1" applyBorder="1" applyAlignment="1" applyProtection="1">
      <alignment vertical="top" wrapText="1" readingOrder="1"/>
      <protection locked="0"/>
    </xf>
    <xf numFmtId="0" fontId="4" fillId="0" borderId="5" xfId="0" applyNumberFormat="1" applyFont="1" applyFill="1" applyBorder="1" applyAlignment="1" applyProtection="1">
      <alignment vertical="top" wrapText="1" shrinkToFit="1"/>
      <protection locked="0"/>
    </xf>
    <xf numFmtId="0" fontId="6" fillId="0" borderId="39" xfId="0" applyNumberFormat="1" applyFont="1" applyFill="1" applyBorder="1" applyAlignment="1" applyProtection="1">
      <alignment horizontal="center" vertical="top" wrapText="1"/>
    </xf>
    <xf numFmtId="0" fontId="4" fillId="0" borderId="39" xfId="0" applyFont="1" applyFill="1" applyBorder="1" applyAlignment="1" applyProtection="1">
      <alignment horizontal="center" vertical="top" wrapText="1" readingOrder="1"/>
      <protection locked="0"/>
    </xf>
    <xf numFmtId="0" fontId="7" fillId="0" borderId="53" xfId="0" applyFont="1" applyFill="1" applyBorder="1" applyAlignment="1" applyProtection="1">
      <alignment horizontal="center" vertical="top" wrapText="1" readingOrder="1"/>
      <protection locked="0"/>
    </xf>
    <xf numFmtId="164" fontId="7" fillId="0" borderId="37" xfId="0" applyNumberFormat="1" applyFont="1" applyFill="1" applyBorder="1" applyAlignment="1" applyProtection="1">
      <alignment vertical="top" wrapText="1" readingOrder="1"/>
      <protection locked="0"/>
    </xf>
    <xf numFmtId="49" fontId="4" fillId="0" borderId="32" xfId="0" applyNumberFormat="1" applyFont="1" applyFill="1" applyBorder="1" applyAlignment="1" applyProtection="1">
      <alignment horizontal="center" vertical="top" wrapText="1" readingOrder="1"/>
      <protection locked="0"/>
    </xf>
    <xf numFmtId="49" fontId="4" fillId="0" borderId="53" xfId="0" applyNumberFormat="1" applyFont="1" applyFill="1" applyBorder="1" applyAlignment="1" applyProtection="1">
      <alignment horizontal="center" vertical="top" wrapText="1" readingOrder="1"/>
      <protection locked="0"/>
    </xf>
    <xf numFmtId="4" fontId="14" fillId="2" borderId="0" xfId="0" applyNumberFormat="1" applyFont="1" applyFill="1"/>
    <xf numFmtId="49" fontId="12" fillId="2" borderId="5" xfId="0" applyNumberFormat="1" applyFont="1" applyFill="1" applyBorder="1" applyAlignment="1">
      <alignment horizontal="left"/>
    </xf>
    <xf numFmtId="4" fontId="12" fillId="3" borderId="5" xfId="0" applyNumberFormat="1" applyFont="1" applyFill="1" applyBorder="1"/>
    <xf numFmtId="49" fontId="0" fillId="3" borderId="0" xfId="0" applyNumberFormat="1" applyFill="1"/>
    <xf numFmtId="49" fontId="12" fillId="0" borderId="0" xfId="0" applyNumberFormat="1" applyFont="1" applyFill="1" applyAlignment="1">
      <alignment horizontal="center" vertical="center"/>
    </xf>
    <xf numFmtId="0" fontId="12" fillId="0" borderId="0" xfId="0" applyFont="1" applyFill="1"/>
    <xf numFmtId="4" fontId="12" fillId="0" borderId="0" xfId="0" applyNumberFormat="1" applyFont="1" applyFill="1"/>
    <xf numFmtId="0" fontId="12" fillId="2" borderId="0" xfId="0" applyFont="1" applyFill="1"/>
    <xf numFmtId="4" fontId="15" fillId="0" borderId="0" xfId="0" applyNumberFormat="1" applyFont="1" applyFill="1"/>
    <xf numFmtId="14" fontId="6" fillId="0" borderId="2" xfId="0" applyNumberFormat="1" applyFont="1" applyFill="1" applyBorder="1" applyAlignment="1" applyProtection="1">
      <alignment horizontal="center" vertical="top" wrapText="1"/>
    </xf>
    <xf numFmtId="49" fontId="12" fillId="0" borderId="27"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166" fontId="4" fillId="0" borderId="33" xfId="0" applyNumberFormat="1" applyFont="1" applyFill="1" applyBorder="1" applyAlignment="1" applyProtection="1">
      <alignment vertical="top" wrapText="1" readingOrder="1"/>
      <protection locked="0"/>
    </xf>
    <xf numFmtId="166" fontId="7" fillId="0" borderId="11" xfId="0" applyNumberFormat="1" applyFont="1" applyFill="1" applyBorder="1" applyAlignment="1" applyProtection="1">
      <alignment vertical="top" wrapText="1" readingOrder="1"/>
      <protection locked="0"/>
    </xf>
    <xf numFmtId="166" fontId="4" fillId="0" borderId="7" xfId="0" applyNumberFormat="1" applyFont="1" applyFill="1" applyBorder="1" applyAlignment="1" applyProtection="1">
      <alignment vertical="top" wrapText="1" readingOrder="1"/>
      <protection locked="0"/>
    </xf>
    <xf numFmtId="164" fontId="7" fillId="0" borderId="42" xfId="0" applyNumberFormat="1" applyFont="1" applyFill="1" applyBorder="1" applyAlignment="1" applyProtection="1">
      <alignment vertical="top" wrapText="1" readingOrder="1"/>
      <protection locked="0"/>
    </xf>
    <xf numFmtId="165" fontId="4" fillId="0" borderId="18" xfId="0" applyNumberFormat="1" applyFont="1" applyFill="1" applyBorder="1" applyAlignment="1" applyProtection="1">
      <alignment vertical="top" wrapText="1" readingOrder="1"/>
      <protection locked="0"/>
    </xf>
    <xf numFmtId="4" fontId="4" fillId="0" borderId="7" xfId="0" applyNumberFormat="1" applyFont="1" applyFill="1" applyBorder="1" applyAlignment="1" applyProtection="1">
      <alignment horizontal="right" vertical="center" wrapText="1" readingOrder="1"/>
      <protection locked="0"/>
    </xf>
    <xf numFmtId="0" fontId="4" fillId="0" borderId="7" xfId="0" applyFont="1" applyFill="1" applyBorder="1" applyAlignment="1" applyProtection="1">
      <alignment horizontal="right" vertical="center" wrapText="1" readingOrder="1"/>
      <protection locked="0"/>
    </xf>
    <xf numFmtId="4" fontId="4" fillId="0" borderId="34" xfId="0" applyNumberFormat="1" applyFont="1" applyFill="1" applyBorder="1" applyAlignment="1" applyProtection="1">
      <alignment horizontal="right" vertical="center" wrapText="1" readingOrder="1"/>
      <protection locked="0"/>
    </xf>
    <xf numFmtId="49" fontId="17" fillId="0" borderId="6" xfId="0" applyNumberFormat="1" applyFont="1" applyFill="1" applyBorder="1" applyAlignment="1" applyProtection="1">
      <alignment horizontal="center" vertical="top" wrapText="1" readingOrder="1"/>
      <protection locked="0"/>
    </xf>
    <xf numFmtId="0" fontId="7" fillId="0" borderId="36"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protection locked="0"/>
    </xf>
    <xf numFmtId="49" fontId="12" fillId="0" borderId="5"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166" fontId="4" fillId="0" borderId="11" xfId="0" applyNumberFormat="1" applyFont="1" applyFill="1" applyBorder="1" applyAlignment="1" applyProtection="1">
      <alignment vertical="top" wrapText="1" readingOrder="1"/>
      <protection locked="0"/>
    </xf>
    <xf numFmtId="166" fontId="4" fillId="0" borderId="12" xfId="0" applyNumberFormat="1" applyFont="1" applyFill="1" applyBorder="1" applyAlignment="1" applyProtection="1">
      <alignment vertical="top" wrapText="1" readingOrder="1"/>
      <protection locked="0"/>
    </xf>
    <xf numFmtId="49" fontId="12" fillId="0" borderId="27"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4" borderId="27" xfId="0" applyNumberFormat="1" applyFont="1" applyFill="1" applyBorder="1" applyAlignment="1">
      <alignment horizontal="center" vertical="center"/>
    </xf>
    <xf numFmtId="4" fontId="12" fillId="4" borderId="5" xfId="0" applyNumberFormat="1" applyFont="1" applyFill="1" applyBorder="1"/>
    <xf numFmtId="49" fontId="0" fillId="4" borderId="0" xfId="0" applyNumberFormat="1" applyFill="1"/>
    <xf numFmtId="0" fontId="0" fillId="4" borderId="0" xfId="0" applyFill="1"/>
    <xf numFmtId="4" fontId="14" fillId="4" borderId="0" xfId="0" applyNumberFormat="1" applyFont="1" applyFill="1"/>
    <xf numFmtId="49" fontId="12" fillId="4" borderId="0" xfId="0" applyNumberFormat="1" applyFont="1" applyFill="1" applyAlignment="1">
      <alignment horizontal="center" vertical="center"/>
    </xf>
    <xf numFmtId="4" fontId="12" fillId="4" borderId="0" xfId="0" applyNumberFormat="1" applyFont="1" applyFill="1"/>
    <xf numFmtId="0" fontId="12" fillId="4" borderId="0" xfId="0" applyFont="1" applyFill="1"/>
    <xf numFmtId="4" fontId="15" fillId="4" borderId="0" xfId="0" applyNumberFormat="1" applyFont="1" applyFill="1"/>
    <xf numFmtId="4" fontId="13" fillId="4" borderId="0" xfId="0" applyNumberFormat="1" applyFont="1" applyFill="1"/>
    <xf numFmtId="4" fontId="1" fillId="0" borderId="0" xfId="0" applyNumberFormat="1" applyFont="1" applyFill="1"/>
    <xf numFmtId="0" fontId="6" fillId="0" borderId="4" xfId="0" applyNumberFormat="1" applyFont="1" applyFill="1" applyBorder="1" applyAlignment="1" applyProtection="1">
      <alignment horizontal="center" vertical="center" wrapText="1"/>
    </xf>
    <xf numFmtId="0" fontId="7" fillId="0" borderId="2" xfId="0" applyFont="1" applyFill="1" applyBorder="1" applyAlignment="1" applyProtection="1">
      <alignment vertical="top" wrapText="1"/>
      <protection locked="0"/>
    </xf>
    <xf numFmtId="0" fontId="3" fillId="0" borderId="11" xfId="1" applyNumberFormat="1" applyFont="1" applyFill="1" applyBorder="1" applyAlignment="1">
      <alignment horizontal="center" vertical="top" wrapText="1"/>
    </xf>
    <xf numFmtId="0" fontId="6" fillId="0" borderId="4" xfId="0" applyNumberFormat="1" applyFont="1" applyFill="1" applyBorder="1" applyAlignment="1" applyProtection="1">
      <alignment horizontal="center" vertical="top" wrapText="1" shrinkToFit="1"/>
      <protection locked="0"/>
    </xf>
    <xf numFmtId="0" fontId="6" fillId="0" borderId="35" xfId="0" applyNumberFormat="1" applyFont="1" applyFill="1" applyBorder="1" applyAlignment="1" applyProtection="1">
      <alignment horizontal="center" vertical="top" wrapText="1"/>
    </xf>
    <xf numFmtId="164" fontId="7" fillId="0" borderId="15" xfId="0" applyNumberFormat="1" applyFont="1" applyFill="1" applyBorder="1" applyAlignment="1" applyProtection="1">
      <alignment vertical="top" wrapText="1" readingOrder="1"/>
      <protection locked="0"/>
    </xf>
    <xf numFmtId="0" fontId="4" fillId="0" borderId="8"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vertical="center" wrapText="1" readingOrder="1"/>
    </xf>
    <xf numFmtId="0" fontId="6"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top" wrapText="1" readingOrder="1"/>
    </xf>
    <xf numFmtId="0" fontId="4" fillId="0" borderId="5" xfId="0" applyFont="1" applyFill="1" applyBorder="1" applyAlignment="1">
      <alignment horizontal="center" vertical="top" wrapText="1"/>
    </xf>
    <xf numFmtId="0" fontId="4" fillId="0" borderId="6" xfId="0" applyNumberFormat="1" applyFont="1" applyFill="1" applyBorder="1" applyAlignment="1" applyProtection="1">
      <alignment vertical="top" wrapText="1" shrinkToFit="1"/>
      <protection locked="0"/>
    </xf>
    <xf numFmtId="0" fontId="4" fillId="0" borderId="18" xfId="0" applyNumberFormat="1" applyFont="1" applyFill="1" applyBorder="1" applyAlignment="1" applyProtection="1">
      <alignment vertical="top" wrapText="1" shrinkToFit="1"/>
      <protection locked="0"/>
    </xf>
    <xf numFmtId="49" fontId="12" fillId="2" borderId="27" xfId="0" applyNumberFormat="1" applyFont="1" applyFill="1" applyBorder="1" applyAlignment="1">
      <alignment horizontal="center" vertical="center"/>
    </xf>
    <xf numFmtId="0" fontId="10" fillId="0" borderId="11" xfId="0" applyNumberFormat="1" applyFont="1" applyFill="1" applyBorder="1" applyAlignment="1" applyProtection="1">
      <alignment horizontal="center" vertical="top" wrapText="1"/>
    </xf>
    <xf numFmtId="49" fontId="4" fillId="0" borderId="11" xfId="0" applyNumberFormat="1" applyFont="1" applyFill="1" applyBorder="1" applyAlignment="1" applyProtection="1">
      <alignment horizontal="center" vertical="center" wrapText="1" readingOrder="1"/>
      <protection locked="0"/>
    </xf>
    <xf numFmtId="49" fontId="4" fillId="0" borderId="3" xfId="0" applyNumberFormat="1" applyFont="1" applyFill="1" applyBorder="1" applyAlignment="1" applyProtection="1">
      <alignment horizontal="center" vertical="center" wrapText="1" readingOrder="1"/>
      <protection locked="0"/>
    </xf>
    <xf numFmtId="166" fontId="4" fillId="0" borderId="53" xfId="0" applyNumberFormat="1" applyFont="1" applyFill="1" applyBorder="1" applyAlignment="1" applyProtection="1">
      <alignment vertical="top" wrapText="1" readingOrder="1"/>
      <protection locked="0"/>
    </xf>
    <xf numFmtId="166" fontId="4" fillId="0" borderId="48" xfId="0" applyNumberFormat="1" applyFont="1" applyFill="1" applyBorder="1" applyAlignment="1" applyProtection="1">
      <alignment vertical="top" wrapText="1" readingOrder="1"/>
      <protection locked="0"/>
    </xf>
    <xf numFmtId="0" fontId="7" fillId="0" borderId="7"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readingOrder="1"/>
      <protection locked="0"/>
    </xf>
    <xf numFmtId="0" fontId="4" fillId="0" borderId="39" xfId="0" applyNumberFormat="1" applyFont="1" applyFill="1" applyBorder="1" applyAlignment="1" applyProtection="1">
      <alignment horizontal="center" vertical="top" wrapText="1" shrinkToFit="1"/>
      <protection locked="0"/>
    </xf>
    <xf numFmtId="4" fontId="13" fillId="2" borderId="0" xfId="0" applyNumberFormat="1" applyFont="1" applyFill="1"/>
    <xf numFmtId="166" fontId="14" fillId="2" borderId="0" xfId="0" applyNumberFormat="1" applyFont="1" applyFill="1"/>
    <xf numFmtId="49" fontId="0" fillId="2" borderId="0" xfId="0" applyNumberFormat="1" applyFill="1"/>
    <xf numFmtId="168" fontId="12" fillId="2" borderId="5" xfId="0" applyNumberFormat="1" applyFont="1" applyFill="1" applyBorder="1"/>
    <xf numFmtId="14" fontId="3" fillId="0" borderId="40" xfId="0" applyNumberFormat="1" applyFont="1" applyFill="1" applyBorder="1" applyAlignment="1" applyProtection="1">
      <alignment horizontal="center" vertical="top" wrapText="1" shrinkToFit="1"/>
      <protection locked="0"/>
    </xf>
    <xf numFmtId="0" fontId="3" fillId="0" borderId="39" xfId="0" applyNumberFormat="1" applyFont="1" applyFill="1" applyBorder="1" applyAlignment="1" applyProtection="1">
      <alignment horizontal="center" vertical="top" wrapText="1" shrinkToFit="1"/>
      <protection locked="0"/>
    </xf>
    <xf numFmtId="0" fontId="4" fillId="0" borderId="56" xfId="0" applyFont="1" applyFill="1" applyBorder="1" applyAlignment="1" applyProtection="1">
      <alignment horizontal="center"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4" fillId="0" borderId="2" xfId="0" applyFont="1" applyFill="1" applyBorder="1" applyAlignment="1" applyProtection="1">
      <alignment horizontal="left"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11"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4" fillId="0" borderId="1"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top" wrapText="1" shrinkToFit="1"/>
      <protection locked="0"/>
    </xf>
    <xf numFmtId="0" fontId="7" fillId="0" borderId="11" xfId="0" applyFont="1" applyFill="1" applyBorder="1" applyAlignment="1" applyProtection="1">
      <alignment horizontal="left" vertical="top" wrapText="1" readingOrder="1"/>
      <protection locked="0"/>
    </xf>
    <xf numFmtId="0" fontId="3" fillId="0" borderId="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7" fillId="0" borderId="2" xfId="0" applyFont="1" applyFill="1" applyBorder="1" applyAlignment="1" applyProtection="1">
      <alignment horizontal="left" vertical="top"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0" fontId="20" fillId="0" borderId="1" xfId="0" applyFont="1" applyFill="1" applyBorder="1" applyAlignment="1" applyProtection="1">
      <alignment horizontal="center" vertical="top" wrapText="1" readingOrder="1"/>
      <protection locked="0"/>
    </xf>
    <xf numFmtId="0" fontId="6" fillId="0" borderId="11"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4" fillId="0" borderId="5" xfId="0" applyNumberFormat="1" applyFont="1" applyFill="1" applyBorder="1" applyAlignment="1" applyProtection="1">
      <alignment horizontal="center" vertical="top" wrapText="1" shrinkToFit="1"/>
      <protection locked="0"/>
    </xf>
    <xf numFmtId="0" fontId="4" fillId="0" borderId="1" xfId="0" applyFont="1" applyFill="1" applyBorder="1" applyAlignment="1" applyProtection="1">
      <alignment horizontal="center" vertical="top" wrapText="1" readingOrder="1"/>
      <protection locked="0"/>
    </xf>
    <xf numFmtId="0" fontId="3" fillId="0" borderId="45" xfId="0" applyNumberFormat="1" applyFont="1" applyFill="1" applyBorder="1" applyAlignment="1" applyProtection="1">
      <alignment horizontal="center" vertical="top" wrapText="1" shrinkToFit="1"/>
      <protection locked="0"/>
    </xf>
    <xf numFmtId="0" fontId="3" fillId="0" borderId="10" xfId="0" applyNumberFormat="1" applyFont="1" applyFill="1" applyBorder="1" applyAlignment="1" applyProtection="1">
      <alignment horizontal="center" vertical="top" wrapText="1" shrinkToFit="1"/>
      <protection locked="0"/>
    </xf>
    <xf numFmtId="0" fontId="7" fillId="0" borderId="11"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7" fillId="0" borderId="6" xfId="0" applyFont="1" applyFill="1" applyBorder="1" applyAlignment="1" applyProtection="1">
      <alignment horizontal="left" vertical="top" wrapText="1" readingOrder="1"/>
      <protection locked="0"/>
    </xf>
    <xf numFmtId="0" fontId="4" fillId="0" borderId="11" xfId="0" applyFont="1" applyFill="1" applyBorder="1" applyAlignment="1" applyProtection="1">
      <alignment horizontal="left" vertical="top" wrapText="1" readingOrder="1"/>
      <protection locked="0"/>
    </xf>
    <xf numFmtId="0" fontId="4" fillId="0" borderId="7" xfId="0" applyFont="1" applyFill="1" applyBorder="1" applyAlignment="1" applyProtection="1">
      <alignment horizontal="left"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0" fontId="7" fillId="0" borderId="7" xfId="0" applyFont="1" applyFill="1" applyBorder="1" applyAlignment="1" applyProtection="1">
      <alignment horizontal="center" vertical="top" wrapText="1" readingOrder="1"/>
      <protection locked="0"/>
    </xf>
    <xf numFmtId="0" fontId="6" fillId="0" borderId="2"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center" wrapText="1" shrinkToFit="1"/>
      <protection locked="0"/>
    </xf>
    <xf numFmtId="0" fontId="3" fillId="0" borderId="16"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4" fillId="0" borderId="5" xfId="0" applyFont="1" applyFill="1" applyBorder="1" applyAlignment="1" applyProtection="1">
      <alignment horizontal="left"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center" vertical="center" wrapText="1" readingOrder="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0" fontId="4" fillId="0" borderId="3" xfId="0"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left" vertical="top" wrapText="1" readingOrder="1"/>
      <protection locked="0"/>
    </xf>
    <xf numFmtId="0" fontId="6" fillId="0" borderId="5" xfId="0"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readingOrder="1"/>
      <protection locked="0"/>
    </xf>
    <xf numFmtId="0" fontId="3" fillId="0" borderId="14" xfId="0" applyNumberFormat="1" applyFont="1" applyFill="1" applyBorder="1" applyAlignment="1" applyProtection="1">
      <alignment horizontal="center" vertical="top" wrapText="1" shrinkToFit="1"/>
      <protection locked="0"/>
    </xf>
    <xf numFmtId="0" fontId="7" fillId="0" borderId="5" xfId="0" applyFont="1" applyFill="1" applyBorder="1" applyAlignment="1" applyProtection="1">
      <alignment horizontal="center" vertical="top" wrapText="1" readingOrder="1"/>
      <protection locked="0"/>
    </xf>
    <xf numFmtId="49" fontId="7" fillId="0" borderId="2" xfId="0" applyNumberFormat="1" applyFont="1" applyFill="1" applyBorder="1" applyAlignment="1" applyProtection="1">
      <alignment horizontal="center" vertical="top" wrapText="1" readingOrder="1"/>
      <protection locked="0"/>
    </xf>
    <xf numFmtId="0" fontId="7" fillId="0" borderId="37" xfId="0" applyFont="1" applyFill="1" applyBorder="1" applyAlignment="1" applyProtection="1">
      <alignment horizontal="center" vertical="top" wrapText="1" readingOrder="1"/>
      <protection locked="0"/>
    </xf>
    <xf numFmtId="14" fontId="4" fillId="0" borderId="5" xfId="0" applyNumberFormat="1" applyFont="1" applyFill="1" applyBorder="1" applyAlignment="1" applyProtection="1">
      <alignment horizontal="center" vertical="top" wrapText="1" shrinkToFit="1"/>
      <protection locked="0"/>
    </xf>
    <xf numFmtId="0" fontId="4" fillId="0" borderId="6" xfId="0" applyFont="1" applyFill="1" applyBorder="1" applyAlignment="1" applyProtection="1">
      <alignment horizontal="center" vertical="top" wrapText="1" readingOrder="1"/>
      <protection locked="0"/>
    </xf>
    <xf numFmtId="0" fontId="3" fillId="0" borderId="6"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wrapText="1" shrinkToFit="1"/>
      <protection locked="0"/>
    </xf>
    <xf numFmtId="0" fontId="3" fillId="0" borderId="4" xfId="0" applyNumberFormat="1"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top" wrapText="1" readingOrder="1"/>
      <protection locked="0"/>
    </xf>
    <xf numFmtId="0" fontId="3" fillId="0" borderId="18"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6" fillId="0" borderId="10" xfId="0" applyNumberFormat="1"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horizontal="center" vertical="top" wrapText="1" readingOrder="1"/>
      <protection locked="0"/>
    </xf>
    <xf numFmtId="0" fontId="3" fillId="0" borderId="9" xfId="0" applyNumberFormat="1" applyFont="1" applyFill="1" applyBorder="1" applyAlignment="1" applyProtection="1">
      <alignment horizontal="center" vertical="top" wrapText="1" shrinkToFit="1"/>
      <protection locked="0"/>
    </xf>
    <xf numFmtId="0" fontId="3" fillId="0" borderId="12"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14" fontId="3" fillId="0" borderId="11" xfId="0" applyNumberFormat="1" applyFont="1" applyFill="1" applyBorder="1" applyAlignment="1" applyProtection="1">
      <alignment horizontal="center" vertical="top" wrapText="1" shrinkToFit="1"/>
      <protection locked="0"/>
    </xf>
    <xf numFmtId="14" fontId="3" fillId="0" borderId="7" xfId="0" applyNumberFormat="1" applyFont="1" applyFill="1" applyBorder="1" applyAlignment="1" applyProtection="1">
      <alignment horizontal="center" vertical="top" wrapText="1" shrinkToFit="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shrinkToFit="1"/>
      <protection locked="0"/>
    </xf>
    <xf numFmtId="0" fontId="4" fillId="0" borderId="7" xfId="0" applyNumberFormat="1" applyFont="1" applyFill="1" applyBorder="1" applyAlignment="1" applyProtection="1">
      <alignment horizontal="center" vertical="top" wrapText="1" shrinkToFit="1"/>
      <protection locked="0"/>
    </xf>
    <xf numFmtId="166" fontId="7" fillId="0" borderId="1" xfId="0" applyNumberFormat="1" applyFont="1" applyFill="1" applyBorder="1" applyAlignment="1" applyProtection="1">
      <alignment horizontal="right" vertical="top" wrapText="1" readingOrder="1"/>
      <protection locked="0"/>
    </xf>
    <xf numFmtId="0" fontId="4" fillId="0" borderId="38" xfId="0" applyNumberFormat="1" applyFont="1" applyFill="1" applyBorder="1" applyAlignment="1" applyProtection="1">
      <alignment horizontal="center" vertical="top" wrapText="1" shrinkToFit="1"/>
      <protection locked="0"/>
    </xf>
    <xf numFmtId="0" fontId="4" fillId="0" borderId="49"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0" fontId="4" fillId="0" borderId="5" xfId="0" applyFont="1" applyFill="1" applyBorder="1" applyAlignment="1" applyProtection="1">
      <alignment horizontal="center" vertical="top" wrapText="1" readingOrder="1"/>
      <protection locked="0"/>
    </xf>
    <xf numFmtId="166" fontId="4" fillId="0" borderId="3" xfId="0" applyNumberFormat="1" applyFont="1" applyFill="1" applyBorder="1" applyAlignment="1" applyProtection="1">
      <alignment horizontal="right" vertical="center" wrapText="1" readingOrder="1"/>
      <protection locked="0"/>
    </xf>
    <xf numFmtId="166" fontId="4" fillId="0" borderId="38" xfId="0" applyNumberFormat="1" applyFont="1" applyFill="1" applyBorder="1" applyAlignment="1" applyProtection="1">
      <alignment horizontal="right" vertical="center" wrapText="1" readingOrder="1"/>
      <protection locked="0"/>
    </xf>
    <xf numFmtId="166" fontId="21" fillId="0" borderId="54" xfId="0" applyNumberFormat="1" applyFont="1" applyFill="1" applyBorder="1" applyAlignment="1" applyProtection="1">
      <alignment horizontal="right" vertical="center" wrapText="1"/>
    </xf>
    <xf numFmtId="166" fontId="4" fillId="0" borderId="34" xfId="0" applyNumberFormat="1" applyFont="1" applyFill="1" applyBorder="1" applyAlignment="1" applyProtection="1">
      <alignment vertical="top" wrapText="1" readingOrder="1"/>
      <protection locked="0"/>
    </xf>
    <xf numFmtId="0" fontId="4" fillId="0" borderId="3" xfId="0" applyFont="1" applyFill="1" applyBorder="1" applyAlignment="1" applyProtection="1">
      <alignment vertical="top" wrapText="1"/>
      <protection locked="0"/>
    </xf>
    <xf numFmtId="0" fontId="4" fillId="0" borderId="3" xfId="0" applyFont="1" applyFill="1" applyBorder="1" applyAlignment="1" applyProtection="1">
      <alignment horizontal="center" vertical="top" wrapText="1"/>
      <protection locked="0"/>
    </xf>
    <xf numFmtId="164" fontId="7" fillId="0" borderId="38" xfId="0" applyNumberFormat="1" applyFont="1" applyFill="1" applyBorder="1" applyAlignment="1" applyProtection="1">
      <alignment vertical="top" wrapText="1" readingOrder="1"/>
      <protection locked="0"/>
    </xf>
    <xf numFmtId="0" fontId="4" fillId="0" borderId="2" xfId="0" applyFont="1" applyFill="1" applyBorder="1" applyAlignment="1" applyProtection="1">
      <alignment horizontal="center" wrapText="1"/>
      <protection locked="0"/>
    </xf>
    <xf numFmtId="164" fontId="4" fillId="0" borderId="46" xfId="0" applyNumberFormat="1" applyFont="1" applyFill="1" applyBorder="1" applyAlignment="1" applyProtection="1">
      <alignment vertical="top" wrapText="1" readingOrder="1"/>
      <protection locked="0"/>
    </xf>
    <xf numFmtId="0" fontId="4" fillId="0" borderId="1" xfId="0" applyNumberFormat="1" applyFont="1" applyFill="1" applyBorder="1" applyAlignment="1" applyProtection="1">
      <alignment horizontal="center" vertical="top" wrapText="1" shrinkToFit="1"/>
      <protection locked="0"/>
    </xf>
    <xf numFmtId="0" fontId="4" fillId="0" borderId="1" xfId="0" applyFont="1" applyFill="1" applyBorder="1" applyAlignment="1" applyProtection="1">
      <alignment horizontal="center"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0" fontId="3" fillId="0" borderId="6"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4" fillId="0" borderId="2" xfId="0" applyFont="1" applyFill="1" applyBorder="1" applyAlignment="1" applyProtection="1">
      <alignment horizontal="left"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7" xfId="0" applyNumberFormat="1" applyFont="1" applyFill="1" applyBorder="1" applyAlignment="1" applyProtection="1">
      <alignment horizontal="center" vertical="center" wrapText="1" shrinkToFit="1"/>
      <protection locked="0"/>
    </xf>
    <xf numFmtId="0" fontId="4" fillId="0" borderId="11"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3" fillId="0" borderId="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0" fontId="4" fillId="0" borderId="26" xfId="0" applyFont="1" applyFill="1" applyBorder="1" applyAlignment="1" applyProtection="1">
      <alignment horizontal="left" vertical="top" wrapText="1" readingOrder="1"/>
      <protection locked="0"/>
    </xf>
    <xf numFmtId="0" fontId="4" fillId="0" borderId="9" xfId="0" applyFont="1" applyFill="1" applyBorder="1" applyAlignment="1" applyProtection="1">
      <alignment horizontal="left" vertical="top" wrapText="1" readingOrder="1"/>
      <protection locked="0"/>
    </xf>
    <xf numFmtId="0" fontId="3" fillId="0" borderId="5"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top" wrapText="1" shrinkToFit="1"/>
      <protection locked="0"/>
    </xf>
    <xf numFmtId="0" fontId="3" fillId="0" borderId="7" xfId="0" applyNumberFormat="1" applyFont="1" applyFill="1" applyBorder="1" applyAlignment="1" applyProtection="1">
      <alignment horizontal="center" vertical="top" wrapText="1" shrinkToFit="1"/>
      <protection locked="0"/>
    </xf>
    <xf numFmtId="0" fontId="4" fillId="0" borderId="5" xfId="0" applyFont="1" applyFill="1" applyBorder="1" applyAlignment="1" applyProtection="1">
      <alignment horizontal="left" vertical="top"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0" fontId="20" fillId="0" borderId="1" xfId="0" applyFont="1" applyFill="1" applyBorder="1" applyAlignment="1" applyProtection="1">
      <alignment horizontal="center"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7" xfId="0" applyFont="1" applyFill="1" applyBorder="1" applyAlignment="1" applyProtection="1">
      <alignment horizontal="left" vertical="top" wrapText="1" readingOrder="1"/>
      <protection locked="0"/>
    </xf>
    <xf numFmtId="0" fontId="6" fillId="0" borderId="11"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center" wrapText="1" shrinkToFit="1"/>
      <protection locked="0"/>
    </xf>
    <xf numFmtId="0" fontId="0" fillId="0" borderId="1" xfId="0" applyFill="1" applyBorder="1" applyAlignment="1">
      <alignment vertical="top"/>
    </xf>
    <xf numFmtId="0" fontId="7" fillId="0" borderId="11" xfId="0"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7" fillId="0" borderId="7"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left" vertical="top" wrapText="1" readingOrder="1"/>
      <protection locked="0"/>
    </xf>
    <xf numFmtId="0" fontId="4" fillId="0" borderId="11" xfId="0" applyFont="1" applyFill="1" applyBorder="1" applyAlignment="1" applyProtection="1">
      <alignment horizontal="left" vertical="top" wrapText="1" readingOrder="1"/>
      <protection locked="0"/>
    </xf>
    <xf numFmtId="0" fontId="6" fillId="0" borderId="2" xfId="0" applyNumberFormat="1" applyFont="1" applyFill="1" applyBorder="1" applyAlignment="1" applyProtection="1">
      <alignment horizontal="center" vertical="top" wrapText="1"/>
    </xf>
    <xf numFmtId="0" fontId="3" fillId="0" borderId="16" xfId="0" applyNumberFormat="1" applyFont="1" applyFill="1" applyBorder="1" applyAlignment="1" applyProtection="1">
      <alignment horizontal="center" vertical="top" wrapText="1" shrinkToFit="1"/>
      <protection locked="0"/>
    </xf>
    <xf numFmtId="0" fontId="3" fillId="0" borderId="28" xfId="0" applyNumberFormat="1" applyFont="1" applyFill="1" applyBorder="1" applyAlignment="1" applyProtection="1">
      <alignment horizontal="center" vertical="top" wrapText="1" shrinkToFit="1"/>
      <protection locked="0"/>
    </xf>
    <xf numFmtId="0" fontId="7" fillId="0" borderId="2" xfId="0" applyFont="1" applyFill="1" applyBorder="1" applyAlignment="1" applyProtection="1">
      <alignment horizontal="left"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49" fontId="4" fillId="0" borderId="55" xfId="0" applyNumberFormat="1" applyFont="1" applyFill="1" applyBorder="1" applyAlignment="1" applyProtection="1">
      <alignment horizontal="center" vertical="top" wrapText="1" readingOrder="1"/>
      <protection locked="0"/>
    </xf>
    <xf numFmtId="0" fontId="4" fillId="0" borderId="29" xfId="0" applyFont="1" applyFill="1" applyBorder="1" applyAlignment="1" applyProtection="1">
      <alignment horizontal="left" vertical="top" wrapText="1" readingOrder="1"/>
      <protection locked="0"/>
    </xf>
    <xf numFmtId="0" fontId="4" fillId="0" borderId="37" xfId="0" applyFont="1" applyFill="1" applyBorder="1" applyAlignment="1" applyProtection="1">
      <alignment horizontal="left" vertical="top" wrapText="1" readingOrder="1"/>
      <protection locked="0"/>
    </xf>
    <xf numFmtId="0" fontId="3" fillId="0" borderId="45" xfId="0" applyNumberFormat="1" applyFont="1" applyFill="1" applyBorder="1" applyAlignment="1" applyProtection="1">
      <alignment horizontal="center" vertical="top" wrapText="1" shrinkToFit="1"/>
      <protection locked="0"/>
    </xf>
    <xf numFmtId="0" fontId="3" fillId="0" borderId="10" xfId="0" applyNumberFormat="1"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left" vertical="top" wrapText="1" readingOrder="1"/>
      <protection locked="0"/>
    </xf>
    <xf numFmtId="0" fontId="7" fillId="0" borderId="1" xfId="0" applyFont="1" applyFill="1" applyBorder="1" applyAlignment="1" applyProtection="1">
      <alignment horizontal="left" vertical="top" wrapText="1" readingOrder="1"/>
      <protection locked="0"/>
    </xf>
    <xf numFmtId="0" fontId="4" fillId="0" borderId="14" xfId="0" applyFont="1" applyFill="1" applyBorder="1" applyAlignment="1" applyProtection="1">
      <alignment horizontal="left" vertical="top" wrapText="1" readingOrder="1"/>
      <protection locked="0"/>
    </xf>
    <xf numFmtId="0" fontId="4" fillId="0" borderId="4" xfId="0" applyFont="1" applyFill="1" applyBorder="1" applyAlignment="1" applyProtection="1">
      <alignment horizontal="left" vertical="top" wrapText="1" readingOrder="1"/>
      <protection locked="0"/>
    </xf>
    <xf numFmtId="0" fontId="4" fillId="0" borderId="5" xfId="0" applyFont="1" applyFill="1" applyBorder="1" applyAlignment="1" applyProtection="1">
      <alignment horizontal="center" vertical="center" wrapText="1" readingOrder="1"/>
      <protection locked="0"/>
    </xf>
    <xf numFmtId="0" fontId="4" fillId="0" borderId="11" xfId="0"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center" vertical="center" wrapText="1" readingOrder="1"/>
      <protection locked="0"/>
    </xf>
    <xf numFmtId="0" fontId="4" fillId="0" borderId="1" xfId="0" applyNumberFormat="1" applyFont="1" applyFill="1" applyBorder="1" applyAlignment="1" applyProtection="1">
      <alignment horizontal="center" vertical="top" wrapText="1" shrinkToFit="1" readingOrder="1"/>
      <protection locked="0"/>
    </xf>
    <xf numFmtId="0" fontId="7" fillId="0" borderId="20" xfId="0" applyFont="1" applyFill="1" applyBorder="1" applyAlignment="1" applyProtection="1">
      <alignment horizontal="left" vertical="top" wrapText="1" readingOrder="1"/>
      <protection locked="0"/>
    </xf>
    <xf numFmtId="0" fontId="7" fillId="0" borderId="16" xfId="0" applyFont="1" applyFill="1" applyBorder="1" applyAlignment="1" applyProtection="1">
      <alignment horizontal="left" vertical="top" wrapText="1" readingOrder="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7" fillId="0" borderId="37" xfId="0" applyFont="1" applyFill="1" applyBorder="1" applyAlignment="1" applyProtection="1">
      <alignment horizontal="left"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top" wrapText="1" shrinkToFit="1"/>
      <protection locked="0"/>
    </xf>
    <xf numFmtId="0" fontId="7" fillId="0" borderId="37" xfId="0" applyFont="1" applyFill="1" applyBorder="1" applyAlignment="1" applyProtection="1">
      <alignment horizontal="center" vertical="top" wrapText="1" readingOrder="1"/>
      <protection locked="0"/>
    </xf>
    <xf numFmtId="0" fontId="16" fillId="0" borderId="0" xfId="0" applyFont="1" applyFill="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4" fillId="0" borderId="52" xfId="0" applyFont="1" applyFill="1" applyBorder="1" applyAlignment="1" applyProtection="1">
      <alignment vertical="top" wrapText="1"/>
      <protection locked="0"/>
    </xf>
    <xf numFmtId="0" fontId="4" fillId="0" borderId="44" xfId="0" applyFont="1" applyFill="1" applyBorder="1" applyAlignment="1" applyProtection="1">
      <alignment vertical="top" wrapText="1"/>
      <protection locked="0"/>
    </xf>
    <xf numFmtId="0" fontId="4" fillId="0" borderId="6" xfId="0" applyFont="1" applyFill="1" applyBorder="1" applyAlignment="1" applyProtection="1">
      <alignment horizontal="left" vertical="top" wrapText="1" readingOrder="1"/>
      <protection locked="0"/>
    </xf>
    <xf numFmtId="0" fontId="20" fillId="0" borderId="6" xfId="0" applyFont="1" applyFill="1" applyBorder="1" applyAlignment="1" applyProtection="1">
      <alignment horizontal="center" vertical="top" wrapText="1" readingOrder="1"/>
      <protection locked="0"/>
    </xf>
    <xf numFmtId="0" fontId="6" fillId="0" borderId="5"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readingOrder="1"/>
      <protection locked="0"/>
    </xf>
    <xf numFmtId="0" fontId="3" fillId="0" borderId="14" xfId="0" applyNumberFormat="1" applyFont="1" applyFill="1" applyBorder="1" applyAlignment="1" applyProtection="1">
      <alignment horizontal="center" vertical="top" wrapText="1" shrinkToFit="1"/>
      <protection locked="0"/>
    </xf>
    <xf numFmtId="0" fontId="7" fillId="0" borderId="5" xfId="0" applyFont="1" applyFill="1" applyBorder="1" applyAlignment="1" applyProtection="1">
      <alignment horizontal="center" vertical="top" wrapText="1" readingOrder="1"/>
      <protection locked="0"/>
    </xf>
    <xf numFmtId="49" fontId="7" fillId="0" borderId="2" xfId="0" applyNumberFormat="1" applyFont="1" applyFill="1" applyBorder="1" applyAlignment="1" applyProtection="1">
      <alignment horizontal="center" vertical="top" wrapText="1" readingOrder="1"/>
      <protection locked="0"/>
    </xf>
    <xf numFmtId="14" fontId="4" fillId="0" borderId="5" xfId="0" applyNumberFormat="1" applyFont="1" applyFill="1" applyBorder="1" applyAlignment="1" applyProtection="1">
      <alignment horizontal="center" vertical="top" wrapText="1" shrinkToFit="1"/>
      <protection locked="0"/>
    </xf>
    <xf numFmtId="0" fontId="6" fillId="0" borderId="12" xfId="0" applyNumberFormat="1" applyFont="1" applyFill="1" applyBorder="1" applyAlignment="1" applyProtection="1">
      <alignment horizontal="center" vertical="top" wrapText="1" shrinkToFit="1"/>
      <protection locked="0"/>
    </xf>
    <xf numFmtId="0" fontId="6" fillId="0" borderId="10" xfId="0" applyNumberFormat="1" applyFont="1" applyFill="1" applyBorder="1" applyAlignment="1" applyProtection="1">
      <alignment horizontal="center" vertical="top" wrapText="1" shrinkToFit="1"/>
      <protection locked="0"/>
    </xf>
    <xf numFmtId="0" fontId="4" fillId="0" borderId="20" xfId="0" applyFont="1" applyFill="1" applyBorder="1" applyAlignment="1" applyProtection="1">
      <alignment horizontal="center" vertical="center" wrapText="1" readingOrder="1"/>
      <protection locked="0"/>
    </xf>
    <xf numFmtId="0" fontId="4" fillId="0" borderId="13" xfId="0" applyFont="1" applyFill="1" applyBorder="1" applyAlignment="1" applyProtection="1">
      <alignment horizontal="center" vertical="center" wrapText="1" readingOrder="1"/>
      <protection locked="0"/>
    </xf>
    <xf numFmtId="0" fontId="4" fillId="0" borderId="28" xfId="0" applyFont="1" applyFill="1" applyBorder="1" applyAlignment="1" applyProtection="1">
      <alignment horizontal="center" vertical="center" wrapText="1" readingOrder="1"/>
      <protection locked="0"/>
    </xf>
    <xf numFmtId="0" fontId="4" fillId="0" borderId="50" xfId="0" applyFont="1" applyFill="1" applyBorder="1" applyAlignment="1" applyProtection="1">
      <alignment horizontal="center" vertical="center" wrapText="1" readingOrder="1"/>
      <protection locked="0"/>
    </xf>
    <xf numFmtId="0" fontId="4" fillId="0" borderId="6" xfId="0" applyFont="1" applyFill="1" applyBorder="1" applyAlignment="1" applyProtection="1">
      <alignment horizontal="center" vertical="top" wrapText="1" readingOrder="1"/>
      <protection locked="0"/>
    </xf>
    <xf numFmtId="0" fontId="3" fillId="0" borderId="6"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wrapText="1" shrinkToFit="1"/>
      <protection locked="0"/>
    </xf>
    <xf numFmtId="0" fontId="3" fillId="0" borderId="4" xfId="0" applyNumberFormat="1"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top" wrapText="1" readingOrder="1"/>
      <protection locked="0"/>
    </xf>
    <xf numFmtId="14" fontId="4" fillId="0" borderId="12" xfId="0" applyNumberFormat="1" applyFont="1" applyFill="1" applyBorder="1" applyAlignment="1" applyProtection="1">
      <alignment horizontal="center" vertical="top" wrapText="1" readingOrder="1"/>
      <protection locked="0"/>
    </xf>
    <xf numFmtId="0" fontId="4" fillId="0" borderId="10" xfId="0" applyFont="1" applyFill="1" applyBorder="1" applyAlignment="1" applyProtection="1">
      <alignment horizontal="center" vertical="top" wrapText="1" readingOrder="1"/>
      <protection locked="0"/>
    </xf>
    <xf numFmtId="0" fontId="3" fillId="0" borderId="18"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0" fontId="4" fillId="0" borderId="51" xfId="0" applyNumberFormat="1" applyFont="1" applyFill="1" applyBorder="1" applyAlignment="1" applyProtection="1">
      <alignment horizontal="center" vertical="top" wrapText="1" shrinkToFit="1"/>
      <protection locked="0"/>
    </xf>
    <xf numFmtId="0" fontId="4" fillId="0" borderId="39" xfId="0" applyNumberFormat="1" applyFont="1" applyFill="1" applyBorder="1" applyAlignment="1" applyProtection="1">
      <alignment horizontal="center" vertical="top" wrapText="1" shrinkToFit="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0" fontId="0" fillId="0" borderId="1" xfId="0" applyFill="1" applyBorder="1"/>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4" fillId="0" borderId="2" xfId="0" applyNumberFormat="1" applyFont="1" applyFill="1" applyBorder="1" applyAlignment="1" applyProtection="1">
      <alignment horizontal="center" vertical="top" wrapText="1" shrinkToFit="1"/>
      <protection locked="0"/>
    </xf>
    <xf numFmtId="0" fontId="4" fillId="0" borderId="7" xfId="0" applyNumberFormat="1" applyFont="1" applyFill="1" applyBorder="1" applyAlignment="1" applyProtection="1">
      <alignment horizontal="center" vertical="top" wrapText="1" shrinkToFit="1"/>
      <protection locked="0"/>
    </xf>
    <xf numFmtId="0" fontId="6" fillId="0" borderId="10" xfId="0" applyNumberFormat="1" applyFont="1" applyFill="1" applyBorder="1" applyAlignment="1" applyProtection="1">
      <alignment horizontal="center" vertical="top" wrapText="1"/>
    </xf>
    <xf numFmtId="4" fontId="4" fillId="0" borderId="14" xfId="0" applyNumberFormat="1" applyFont="1" applyFill="1" applyBorder="1" applyAlignment="1" applyProtection="1">
      <alignment horizontal="right" vertical="center" wrapText="1" readingOrder="1"/>
      <protection locked="0"/>
    </xf>
    <xf numFmtId="4" fontId="4" fillId="0" borderId="1" xfId="0" applyNumberFormat="1" applyFont="1" applyFill="1" applyBorder="1" applyAlignment="1" applyProtection="1">
      <alignment horizontal="right" vertical="center" wrapText="1" readingOrder="1"/>
      <protection locked="0"/>
    </xf>
    <xf numFmtId="0" fontId="4" fillId="0" borderId="16" xfId="0" applyFont="1" applyFill="1" applyBorder="1" applyAlignment="1" applyProtection="1">
      <alignment horizontal="center" vertical="center" wrapText="1" readingOrder="1"/>
      <protection locked="0"/>
    </xf>
    <xf numFmtId="0" fontId="4" fillId="0" borderId="14" xfId="0" applyFont="1" applyFill="1" applyBorder="1" applyAlignment="1" applyProtection="1">
      <alignment horizontal="right" vertical="center" wrapText="1" readingOrder="1"/>
      <protection locked="0"/>
    </xf>
    <xf numFmtId="0" fontId="4" fillId="0" borderId="1" xfId="0" applyFont="1" applyFill="1" applyBorder="1" applyAlignment="1" applyProtection="1">
      <alignment horizontal="right" vertical="center" wrapText="1" readingOrder="1"/>
      <protection locked="0"/>
    </xf>
    <xf numFmtId="0" fontId="7" fillId="0" borderId="20"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horizontal="center" vertical="top" wrapText="1" readingOrder="1"/>
      <protection locked="0"/>
    </xf>
    <xf numFmtId="0" fontId="3" fillId="0" borderId="9" xfId="0" applyNumberFormat="1" applyFont="1" applyFill="1" applyBorder="1" applyAlignment="1" applyProtection="1">
      <alignment horizontal="center" vertical="top" wrapText="1" shrinkToFit="1"/>
      <protection locked="0"/>
    </xf>
    <xf numFmtId="0" fontId="3" fillId="0" borderId="0" xfId="0" applyNumberFormat="1" applyFont="1" applyFill="1" applyBorder="1" applyAlignment="1" applyProtection="1">
      <alignment horizontal="center" vertical="top" wrapText="1" shrinkToFit="1"/>
      <protection locked="0"/>
    </xf>
    <xf numFmtId="0" fontId="3" fillId="0" borderId="50" xfId="0" applyNumberFormat="1" applyFont="1" applyFill="1" applyBorder="1" applyAlignment="1" applyProtection="1">
      <alignment horizontal="center" vertical="top" wrapText="1" shrinkToFit="1"/>
      <protection locked="0"/>
    </xf>
    <xf numFmtId="0" fontId="3" fillId="0" borderId="12"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14" fontId="3" fillId="0" borderId="11" xfId="0" applyNumberFormat="1" applyFont="1" applyFill="1" applyBorder="1" applyAlignment="1" applyProtection="1">
      <alignment horizontal="center" vertical="top" wrapText="1" shrinkToFit="1"/>
      <protection locked="0"/>
    </xf>
    <xf numFmtId="14" fontId="3" fillId="0" borderId="7" xfId="0" applyNumberFormat="1" applyFont="1" applyFill="1" applyBorder="1" applyAlignment="1" applyProtection="1">
      <alignment horizontal="center" vertical="top" wrapText="1" shrinkToFit="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0" fontId="7" fillId="0" borderId="4" xfId="0" applyFont="1" applyFill="1" applyBorder="1" applyAlignment="1" applyProtection="1">
      <alignment horizontal="left" vertical="top" wrapText="1" readingOrder="1"/>
      <protection locked="0"/>
    </xf>
    <xf numFmtId="0" fontId="4" fillId="0" borderId="1" xfId="0" applyFont="1" applyFill="1" applyBorder="1" applyAlignment="1" applyProtection="1">
      <alignment horizontal="center" vertical="top" wrapText="1"/>
      <protection locked="0"/>
    </xf>
    <xf numFmtId="0" fontId="4" fillId="0" borderId="8"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xf>
    <xf numFmtId="0" fontId="4" fillId="0" borderId="28" xfId="0" applyFont="1" applyFill="1" applyBorder="1" applyAlignment="1" applyProtection="1">
      <alignment horizontal="center" vertical="top" wrapText="1" readingOrder="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49" fontId="12" fillId="0" borderId="27" xfId="0" applyNumberFormat="1"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3" borderId="27" xfId="0" applyNumberFormat="1" applyFont="1" applyFill="1" applyBorder="1" applyAlignment="1">
      <alignment horizontal="center" vertical="center"/>
    </xf>
    <xf numFmtId="49" fontId="12" fillId="3" borderId="25"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cellXfs>
  <cellStyles count="2">
    <cellStyle name="Обычный" xfId="0" builtinId="0"/>
    <cellStyle name="Обычный_TMP_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545"/>
  <sheetViews>
    <sheetView showGridLines="0" tabSelected="1" zoomScaleNormal="100" zoomScaleSheetLayoutView="80" workbookViewId="0">
      <pane xSplit="2" ySplit="5" topLeftCell="C26" activePane="bottomRight" state="frozen"/>
      <selection pane="topRight" activeCell="C1" sqref="C1"/>
      <selection pane="bottomLeft" activeCell="A6" sqref="A6"/>
      <selection pane="bottomRight" activeCell="G457" sqref="G457"/>
    </sheetView>
  </sheetViews>
  <sheetFormatPr defaultRowHeight="18.75"/>
  <cols>
    <col min="1" max="1" width="36.140625" style="31" customWidth="1"/>
    <col min="2" max="2" width="5.85546875" style="288" customWidth="1"/>
    <col min="3" max="3" width="22" style="31" customWidth="1"/>
    <col min="4" max="4" width="6.28515625" style="31" customWidth="1"/>
    <col min="5" max="5" width="9" style="31" customWidth="1"/>
    <col min="6" max="6" width="22.140625" style="31" customWidth="1"/>
    <col min="7" max="7" width="6.5703125" style="31" customWidth="1"/>
    <col min="8" max="8" width="10" style="31" customWidth="1"/>
    <col min="9" max="9" width="49" style="31" customWidth="1"/>
    <col min="10" max="10" width="6.42578125" style="31" customWidth="1"/>
    <col min="11" max="11" width="9.7109375" style="31" customWidth="1"/>
    <col min="12" max="13" width="3.7109375" style="31" customWidth="1"/>
    <col min="14" max="14" width="10.140625" style="31" customWidth="1"/>
    <col min="15" max="15" width="9.42578125" style="31" customWidth="1"/>
    <col min="16" max="17" width="10.140625" style="31" customWidth="1"/>
    <col min="18" max="18" width="9.28515625" style="31" customWidth="1"/>
    <col min="19" max="16384" width="9.140625" style="113"/>
  </cols>
  <sheetData>
    <row r="1" spans="1:18" ht="18" customHeight="1">
      <c r="A1" s="605" t="s">
        <v>1472</v>
      </c>
      <c r="B1" s="605"/>
      <c r="C1" s="605"/>
      <c r="D1" s="605"/>
      <c r="E1" s="605"/>
      <c r="F1" s="605"/>
      <c r="G1" s="605"/>
      <c r="H1" s="605"/>
      <c r="I1" s="605"/>
      <c r="J1" s="605"/>
      <c r="K1" s="605"/>
      <c r="L1" s="605"/>
      <c r="M1" s="605"/>
      <c r="N1" s="605"/>
      <c r="O1" s="605"/>
      <c r="P1" s="605"/>
      <c r="Q1" s="605"/>
      <c r="R1" s="605"/>
    </row>
    <row r="2" spans="1:18" s="114" customFormat="1" ht="12.75" customHeight="1">
      <c r="A2" s="592" t="s">
        <v>554</v>
      </c>
      <c r="B2" s="549" t="s">
        <v>0</v>
      </c>
      <c r="C2" s="606" t="s">
        <v>555</v>
      </c>
      <c r="D2" s="607"/>
      <c r="E2" s="607"/>
      <c r="F2" s="607"/>
      <c r="G2" s="607"/>
      <c r="H2" s="607"/>
      <c r="I2" s="607"/>
      <c r="J2" s="607"/>
      <c r="K2" s="608"/>
      <c r="L2" s="620" t="s">
        <v>1</v>
      </c>
      <c r="M2" s="621"/>
      <c r="N2" s="613" t="s">
        <v>2</v>
      </c>
      <c r="O2" s="613"/>
      <c r="P2" s="613"/>
      <c r="Q2" s="613"/>
      <c r="R2" s="613"/>
    </row>
    <row r="3" spans="1:18" s="114" customFormat="1" ht="23.25" customHeight="1">
      <c r="A3" s="593"/>
      <c r="B3" s="564"/>
      <c r="C3" s="606" t="s">
        <v>7</v>
      </c>
      <c r="D3" s="607"/>
      <c r="E3" s="608"/>
      <c r="F3" s="606" t="s">
        <v>8</v>
      </c>
      <c r="G3" s="607"/>
      <c r="H3" s="608"/>
      <c r="I3" s="606" t="s">
        <v>55</v>
      </c>
      <c r="J3" s="607"/>
      <c r="K3" s="608"/>
      <c r="L3" s="622"/>
      <c r="M3" s="623"/>
      <c r="N3" s="591">
        <v>2019</v>
      </c>
      <c r="O3" s="591"/>
      <c r="P3" s="591" t="s">
        <v>1112</v>
      </c>
      <c r="Q3" s="591" t="s">
        <v>1113</v>
      </c>
      <c r="R3" s="491" t="s">
        <v>9</v>
      </c>
    </row>
    <row r="4" spans="1:18" s="114" customFormat="1" ht="86.25" customHeight="1">
      <c r="A4" s="594"/>
      <c r="B4" s="550"/>
      <c r="C4" s="488" t="s">
        <v>447</v>
      </c>
      <c r="D4" s="488" t="s">
        <v>10</v>
      </c>
      <c r="E4" s="488" t="s">
        <v>11</v>
      </c>
      <c r="F4" s="488" t="s">
        <v>447</v>
      </c>
      <c r="G4" s="488" t="s">
        <v>10</v>
      </c>
      <c r="H4" s="488" t="s">
        <v>11</v>
      </c>
      <c r="I4" s="488" t="s">
        <v>447</v>
      </c>
      <c r="J4" s="488" t="s">
        <v>10</v>
      </c>
      <c r="K4" s="488" t="s">
        <v>11</v>
      </c>
      <c r="L4" s="488" t="s">
        <v>12</v>
      </c>
      <c r="M4" s="140" t="s">
        <v>13</v>
      </c>
      <c r="N4" s="491" t="s">
        <v>14</v>
      </c>
      <c r="O4" s="491" t="s">
        <v>15</v>
      </c>
      <c r="P4" s="591"/>
      <c r="Q4" s="591"/>
      <c r="R4" s="491" t="s">
        <v>1114</v>
      </c>
    </row>
    <row r="5" spans="1:18" s="114" customFormat="1" ht="12">
      <c r="A5" s="448" t="s">
        <v>3</v>
      </c>
      <c r="B5" s="448" t="s">
        <v>16</v>
      </c>
      <c r="C5" s="488" t="s">
        <v>17</v>
      </c>
      <c r="D5" s="488" t="s">
        <v>18</v>
      </c>
      <c r="E5" s="488" t="s">
        <v>19</v>
      </c>
      <c r="F5" s="488" t="s">
        <v>20</v>
      </c>
      <c r="G5" s="488" t="s">
        <v>21</v>
      </c>
      <c r="H5" s="488" t="s">
        <v>22</v>
      </c>
      <c r="I5" s="488">
        <v>9</v>
      </c>
      <c r="J5" s="488">
        <v>10</v>
      </c>
      <c r="K5" s="488">
        <v>11</v>
      </c>
      <c r="L5" s="488">
        <v>12</v>
      </c>
      <c r="M5" s="140">
        <v>13</v>
      </c>
      <c r="N5" s="431">
        <v>14</v>
      </c>
      <c r="O5" s="431">
        <v>15</v>
      </c>
      <c r="P5" s="431">
        <v>16</v>
      </c>
      <c r="Q5" s="431">
        <v>17</v>
      </c>
      <c r="R5" s="431">
        <v>18</v>
      </c>
    </row>
    <row r="6" spans="1:18" s="115" customFormat="1" ht="60" customHeight="1">
      <c r="A6" s="37" t="s">
        <v>546</v>
      </c>
      <c r="B6" s="467" t="s">
        <v>28</v>
      </c>
      <c r="C6" s="467" t="s">
        <v>29</v>
      </c>
      <c r="D6" s="467" t="s">
        <v>29</v>
      </c>
      <c r="E6" s="467" t="s">
        <v>29</v>
      </c>
      <c r="F6" s="467" t="s">
        <v>29</v>
      </c>
      <c r="G6" s="467" t="s">
        <v>29</v>
      </c>
      <c r="H6" s="467" t="s">
        <v>29</v>
      </c>
      <c r="I6" s="467" t="s">
        <v>29</v>
      </c>
      <c r="J6" s="467" t="s">
        <v>29</v>
      </c>
      <c r="K6" s="467" t="s">
        <v>29</v>
      </c>
      <c r="L6" s="467"/>
      <c r="M6" s="511"/>
      <c r="N6" s="163">
        <f>N7+N253+N304+N332+N393+N398</f>
        <v>1777321.9390000002</v>
      </c>
      <c r="O6" s="163">
        <f>O7+O253+O304+O332+O393+O398</f>
        <v>1729929.0179999999</v>
      </c>
      <c r="P6" s="163">
        <f>P7+P253+P304+P332+P393+P398</f>
        <v>1811341.1582200001</v>
      </c>
      <c r="Q6" s="163">
        <f>Q7+Q253+Q304+Q332+Q393+Q398</f>
        <v>1539869.102</v>
      </c>
      <c r="R6" s="163">
        <f>R7+R253+R304+R332+R393+R398</f>
        <v>1323286.3900000001</v>
      </c>
    </row>
    <row r="7" spans="1:18" s="115" customFormat="1" ht="72">
      <c r="A7" s="37" t="s">
        <v>547</v>
      </c>
      <c r="B7" s="467" t="s">
        <v>30</v>
      </c>
      <c r="C7" s="467" t="s">
        <v>29</v>
      </c>
      <c r="D7" s="467" t="s">
        <v>29</v>
      </c>
      <c r="E7" s="467" t="s">
        <v>29</v>
      </c>
      <c r="F7" s="467" t="s">
        <v>29</v>
      </c>
      <c r="G7" s="467" t="s">
        <v>29</v>
      </c>
      <c r="H7" s="467" t="s">
        <v>29</v>
      </c>
      <c r="I7" s="467" t="s">
        <v>29</v>
      </c>
      <c r="J7" s="467" t="s">
        <v>29</v>
      </c>
      <c r="K7" s="467" t="s">
        <v>29</v>
      </c>
      <c r="L7" s="467"/>
      <c r="M7" s="511"/>
      <c r="N7" s="164">
        <f>N8+N247</f>
        <v>541386.73499999999</v>
      </c>
      <c r="O7" s="164">
        <f>O8+O247</f>
        <v>527231.1</v>
      </c>
      <c r="P7" s="164">
        <f>P8+P247</f>
        <v>679122.11499999987</v>
      </c>
      <c r="Q7" s="164">
        <f>Q8+Q247</f>
        <v>594918.05700000003</v>
      </c>
      <c r="R7" s="164">
        <f>R8+R247</f>
        <v>372870.505</v>
      </c>
    </row>
    <row r="8" spans="1:18" s="115" customFormat="1" ht="72">
      <c r="A8" s="37" t="s">
        <v>600</v>
      </c>
      <c r="B8" s="467">
        <v>1002</v>
      </c>
      <c r="C8" s="467" t="s">
        <v>29</v>
      </c>
      <c r="D8" s="467" t="s">
        <v>29</v>
      </c>
      <c r="E8" s="467" t="s">
        <v>29</v>
      </c>
      <c r="F8" s="467" t="s">
        <v>29</v>
      </c>
      <c r="G8" s="467" t="s">
        <v>29</v>
      </c>
      <c r="H8" s="467" t="s">
        <v>29</v>
      </c>
      <c r="I8" s="467" t="s">
        <v>29</v>
      </c>
      <c r="J8" s="467" t="s">
        <v>29</v>
      </c>
      <c r="K8" s="467" t="s">
        <v>29</v>
      </c>
      <c r="L8" s="65"/>
      <c r="M8" s="160"/>
      <c r="N8" s="164">
        <f>N9+N11+N12+N17+N19+N21+N22+N23+N31+N32+N49+N78+N109+N126+N129+N130+N133+N144+N145+N157+N175+N178+N181+N183+N189+N197+N198+N208+N228+N230</f>
        <v>479154.16</v>
      </c>
      <c r="O8" s="164">
        <f>O9+O11+O12+O17+O19+O21+O22+O23+O31+O32+O49+O78+O109+O126+O129+O130+O133+O144+O145+O157+O175+O178+O181+O183+O189+O197+O198+O208+O228+O230</f>
        <v>464998.52500000002</v>
      </c>
      <c r="P8" s="164">
        <f>P9+P11+P12+P17+P19+P21+P22+P23+P31+P32+P49+P78+P109+P126+P129+P130+P133+P144+P145+P152+P157+P175+P178+P181+P183+P189+P197+P198+P208+P228+P230+P245+P246</f>
        <v>613883.5149999999</v>
      </c>
      <c r="Q8" s="164">
        <f t="shared" ref="Q8:R8" si="0">Q9+Q11+Q12+Q17+Q19+Q21+Q22+Q23+Q31+Q32+Q49+Q78+Q109+Q126+Q129+Q130+Q133+Q144+Q145+Q152+Q157+Q175+Q178+Q181+Q183+Q189+Q197+Q198+Q208+Q228+Q230+Q245+Q246</f>
        <v>594918.05700000003</v>
      </c>
      <c r="R8" s="164">
        <f t="shared" si="0"/>
        <v>372870.505</v>
      </c>
    </row>
    <row r="9" spans="1:18" s="115" customFormat="1" ht="12" customHeight="1">
      <c r="A9" s="596" t="s">
        <v>548</v>
      </c>
      <c r="B9" s="615">
        <v>1005</v>
      </c>
      <c r="C9" s="219"/>
      <c r="D9" s="51"/>
      <c r="E9" s="51"/>
      <c r="F9" s="51"/>
      <c r="G9" s="51"/>
      <c r="H9" s="51"/>
      <c r="I9" s="15"/>
      <c r="J9" s="15"/>
      <c r="K9" s="15"/>
      <c r="L9" s="493" t="s">
        <v>32</v>
      </c>
      <c r="M9" s="145" t="s">
        <v>26</v>
      </c>
      <c r="N9" s="164">
        <f>SUM(N10:N10)</f>
        <v>3685.1880000000001</v>
      </c>
      <c r="O9" s="164">
        <f t="shared" ref="O9:R9" si="1">SUM(O10:O10)</f>
        <v>3667.3959999999997</v>
      </c>
      <c r="P9" s="164">
        <f t="shared" si="1"/>
        <v>3361.8789999999999</v>
      </c>
      <c r="Q9" s="164">
        <f t="shared" si="1"/>
        <v>3153.1</v>
      </c>
      <c r="R9" s="164">
        <f t="shared" si="1"/>
        <v>3153.1</v>
      </c>
    </row>
    <row r="10" spans="1:18" s="114" customFormat="1" ht="144.75" customHeight="1">
      <c r="A10" s="597"/>
      <c r="B10" s="615"/>
      <c r="C10" s="290" t="s">
        <v>56</v>
      </c>
      <c r="D10" s="453" t="s">
        <v>73</v>
      </c>
      <c r="E10" s="453" t="s">
        <v>57</v>
      </c>
      <c r="F10" s="459" t="s">
        <v>31</v>
      </c>
      <c r="G10" s="459" t="s">
        <v>31</v>
      </c>
      <c r="H10" s="459" t="s">
        <v>31</v>
      </c>
      <c r="I10" s="291" t="s">
        <v>993</v>
      </c>
      <c r="J10" s="459" t="s">
        <v>74</v>
      </c>
      <c r="K10" s="459" t="s">
        <v>75</v>
      </c>
      <c r="L10" s="459" t="s">
        <v>32</v>
      </c>
      <c r="M10" s="507" t="s">
        <v>26</v>
      </c>
      <c r="N10" s="63">
        <f>3327.588+330+27.6</f>
        <v>3685.1880000000001</v>
      </c>
      <c r="O10" s="63">
        <f>3309.676+330+27.6+0.12</f>
        <v>3667.3959999999997</v>
      </c>
      <c r="P10" s="63">
        <f>3361.879</f>
        <v>3361.8789999999999</v>
      </c>
      <c r="Q10" s="63">
        <v>3153.1</v>
      </c>
      <c r="R10" s="63">
        <v>3153.1</v>
      </c>
    </row>
    <row r="11" spans="1:18" s="115" customFormat="1" ht="59.25" customHeight="1">
      <c r="A11" s="69" t="s">
        <v>549</v>
      </c>
      <c r="B11" s="493">
        <v>1006</v>
      </c>
      <c r="C11" s="472" t="s">
        <v>56</v>
      </c>
      <c r="D11" s="472" t="s">
        <v>344</v>
      </c>
      <c r="E11" s="472" t="s">
        <v>57</v>
      </c>
      <c r="F11" s="493"/>
      <c r="G11" s="493"/>
      <c r="H11" s="493"/>
      <c r="I11" s="491" t="s">
        <v>91</v>
      </c>
      <c r="J11" s="491" t="s">
        <v>68</v>
      </c>
      <c r="K11" s="491" t="s">
        <v>71</v>
      </c>
      <c r="L11" s="493" t="s">
        <v>35</v>
      </c>
      <c r="M11" s="493" t="s">
        <v>36</v>
      </c>
      <c r="N11" s="98">
        <v>0</v>
      </c>
      <c r="O11" s="98">
        <v>0</v>
      </c>
      <c r="P11" s="98">
        <v>28703.445</v>
      </c>
      <c r="Q11" s="98">
        <v>40199.699999999997</v>
      </c>
      <c r="R11" s="98">
        <v>29199.7</v>
      </c>
    </row>
    <row r="12" spans="1:18" s="115" customFormat="1" ht="12" customHeight="1">
      <c r="A12" s="600" t="s">
        <v>601</v>
      </c>
      <c r="B12" s="604">
        <v>1007</v>
      </c>
      <c r="C12" s="495"/>
      <c r="D12" s="495"/>
      <c r="E12" s="495"/>
      <c r="F12" s="495"/>
      <c r="G12" s="495"/>
      <c r="H12" s="365"/>
      <c r="I12" s="365"/>
      <c r="J12" s="365"/>
      <c r="K12" s="365"/>
      <c r="L12" s="495" t="s">
        <v>37</v>
      </c>
      <c r="M12" s="495" t="s">
        <v>38</v>
      </c>
      <c r="N12" s="366">
        <f>SUM(N13:N16)</f>
        <v>3284.4290000000001</v>
      </c>
      <c r="O12" s="366">
        <f t="shared" ref="O12:R12" si="2">SUM(O13:O16)</f>
        <v>2793.1869999999999</v>
      </c>
      <c r="P12" s="366">
        <f t="shared" si="2"/>
        <v>4143.9219999999996</v>
      </c>
      <c r="Q12" s="366">
        <f t="shared" si="2"/>
        <v>43102.3</v>
      </c>
      <c r="R12" s="366">
        <f t="shared" si="2"/>
        <v>43102.3</v>
      </c>
    </row>
    <row r="13" spans="1:18" s="114" customFormat="1" ht="84" customHeight="1">
      <c r="A13" s="580"/>
      <c r="B13" s="573"/>
      <c r="C13" s="447" t="s">
        <v>56</v>
      </c>
      <c r="D13" s="447" t="s">
        <v>81</v>
      </c>
      <c r="E13" s="447" t="s">
        <v>57</v>
      </c>
      <c r="F13" s="447" t="s">
        <v>1273</v>
      </c>
      <c r="G13" s="447" t="s">
        <v>1274</v>
      </c>
      <c r="H13" s="447" t="s">
        <v>1345</v>
      </c>
      <c r="I13" s="477" t="s">
        <v>76</v>
      </c>
      <c r="J13" s="477" t="s">
        <v>77</v>
      </c>
      <c r="K13" s="477" t="s">
        <v>78</v>
      </c>
      <c r="L13" s="447"/>
      <c r="M13" s="447"/>
      <c r="N13" s="20">
        <v>2793.1959999999999</v>
      </c>
      <c r="O13" s="20">
        <v>2793.1869999999999</v>
      </c>
      <c r="P13" s="20">
        <v>4143.9219999999996</v>
      </c>
      <c r="Q13" s="20">
        <v>43102.3</v>
      </c>
      <c r="R13" s="170">
        <v>43102.3</v>
      </c>
    </row>
    <row r="14" spans="1:18" s="114" customFormat="1" ht="108.75" customHeight="1">
      <c r="A14" s="580"/>
      <c r="B14" s="573"/>
      <c r="C14" s="459"/>
      <c r="D14" s="459"/>
      <c r="E14" s="459"/>
      <c r="F14" s="459"/>
      <c r="G14" s="459"/>
      <c r="H14" s="459"/>
      <c r="I14" s="453" t="s">
        <v>1043</v>
      </c>
      <c r="J14" s="453" t="s">
        <v>68</v>
      </c>
      <c r="K14" s="453" t="s">
        <v>599</v>
      </c>
      <c r="L14" s="459"/>
      <c r="M14" s="459"/>
      <c r="N14" s="53"/>
      <c r="O14" s="53"/>
      <c r="P14" s="53"/>
      <c r="Q14" s="53"/>
      <c r="R14" s="171"/>
    </row>
    <row r="15" spans="1:18" s="114" customFormat="1" ht="84">
      <c r="A15" s="580"/>
      <c r="B15" s="573"/>
      <c r="C15" s="459"/>
      <c r="D15" s="459"/>
      <c r="E15" s="459"/>
      <c r="F15" s="459"/>
      <c r="G15" s="459"/>
      <c r="H15" s="459"/>
      <c r="I15" s="453" t="s">
        <v>1121</v>
      </c>
      <c r="J15" s="453" t="s">
        <v>68</v>
      </c>
      <c r="K15" s="453" t="s">
        <v>80</v>
      </c>
      <c r="L15" s="459"/>
      <c r="M15" s="459"/>
      <c r="N15" s="53"/>
      <c r="O15" s="53"/>
      <c r="P15" s="53"/>
      <c r="Q15" s="53"/>
      <c r="R15" s="171"/>
    </row>
    <row r="16" spans="1:18" s="114" customFormat="1" ht="84" customHeight="1">
      <c r="A16" s="471"/>
      <c r="B16" s="72" t="s">
        <v>539</v>
      </c>
      <c r="C16" s="448"/>
      <c r="D16" s="448"/>
      <c r="E16" s="448"/>
      <c r="F16" s="448"/>
      <c r="G16" s="448"/>
      <c r="H16" s="448"/>
      <c r="I16" s="442" t="s">
        <v>1275</v>
      </c>
      <c r="J16" s="442" t="s">
        <v>68</v>
      </c>
      <c r="K16" s="442" t="s">
        <v>1062</v>
      </c>
      <c r="L16" s="448"/>
      <c r="M16" s="448"/>
      <c r="N16" s="58">
        <v>491.233</v>
      </c>
      <c r="O16" s="58">
        <v>0</v>
      </c>
      <c r="P16" s="58">
        <v>0</v>
      </c>
      <c r="Q16" s="58">
        <v>0</v>
      </c>
      <c r="R16" s="173">
        <v>0</v>
      </c>
    </row>
    <row r="17" spans="1:18" s="115" customFormat="1" ht="14.25" customHeight="1">
      <c r="A17" s="566" t="s">
        <v>603</v>
      </c>
      <c r="B17" s="562" t="s">
        <v>602</v>
      </c>
      <c r="C17" s="39"/>
      <c r="D17" s="39"/>
      <c r="E17" s="39"/>
      <c r="F17" s="40"/>
      <c r="G17" s="40"/>
      <c r="H17" s="40"/>
      <c r="I17" s="2"/>
      <c r="J17" s="2"/>
      <c r="K17" s="2"/>
      <c r="L17" s="40" t="s">
        <v>37</v>
      </c>
      <c r="M17" s="40" t="s">
        <v>40</v>
      </c>
      <c r="N17" s="242">
        <f>SUM(N18:N18)</f>
        <v>2763.0720000000001</v>
      </c>
      <c r="O17" s="242">
        <f t="shared" ref="O17:R17" si="3">SUM(O18:O18)</f>
        <v>2763.0720000000001</v>
      </c>
      <c r="P17" s="242">
        <f t="shared" si="3"/>
        <v>19886.2</v>
      </c>
      <c r="Q17" s="242">
        <f t="shared" si="3"/>
        <v>3216.2</v>
      </c>
      <c r="R17" s="242">
        <f t="shared" si="3"/>
        <v>3216.2</v>
      </c>
    </row>
    <row r="18" spans="1:18" s="114" customFormat="1" ht="109.5" customHeight="1">
      <c r="A18" s="580"/>
      <c r="B18" s="616"/>
      <c r="C18" s="459" t="s">
        <v>56</v>
      </c>
      <c r="D18" s="459" t="s">
        <v>83</v>
      </c>
      <c r="E18" s="459" t="s">
        <v>57</v>
      </c>
      <c r="F18" s="459" t="s">
        <v>31</v>
      </c>
      <c r="G18" s="459" t="s">
        <v>31</v>
      </c>
      <c r="H18" s="459" t="s">
        <v>31</v>
      </c>
      <c r="I18" s="336" t="s">
        <v>723</v>
      </c>
      <c r="J18" s="527" t="s">
        <v>782</v>
      </c>
      <c r="K18" s="527" t="s">
        <v>78</v>
      </c>
      <c r="L18" s="459"/>
      <c r="M18" s="459"/>
      <c r="N18" s="53">
        <v>2763.0720000000001</v>
      </c>
      <c r="O18" s="53">
        <v>2763.0720000000001</v>
      </c>
      <c r="P18" s="53">
        <f>3216.2+16670</f>
        <v>19886.2</v>
      </c>
      <c r="Q18" s="53">
        <v>3216.2</v>
      </c>
      <c r="R18" s="171">
        <v>3216.2</v>
      </c>
    </row>
    <row r="19" spans="1:18" s="115" customFormat="1" ht="13.5" customHeight="1">
      <c r="A19" s="587" t="s">
        <v>604</v>
      </c>
      <c r="B19" s="598">
        <v>1010</v>
      </c>
      <c r="C19" s="69"/>
      <c r="D19" s="69"/>
      <c r="E19" s="69"/>
      <c r="F19" s="69"/>
      <c r="G19" s="69"/>
      <c r="H19" s="69"/>
      <c r="I19" s="12"/>
      <c r="J19" s="226"/>
      <c r="K19" s="226"/>
      <c r="L19" s="493" t="s">
        <v>37</v>
      </c>
      <c r="M19" s="493" t="s">
        <v>40</v>
      </c>
      <c r="N19" s="98">
        <f>SUM(N20:N20)</f>
        <v>3205.1729999999998</v>
      </c>
      <c r="O19" s="98">
        <f>SUM(O20:O20)</f>
        <v>3205.1729999999998</v>
      </c>
      <c r="P19" s="98">
        <f>SUM(P20:P20)</f>
        <v>4586.2</v>
      </c>
      <c r="Q19" s="98">
        <f>SUM(Q20:Q20)</f>
        <v>3356.2</v>
      </c>
      <c r="R19" s="98">
        <f>SUM(R20:R20)</f>
        <v>3356.2</v>
      </c>
    </row>
    <row r="20" spans="1:18" s="114" customFormat="1" ht="59.25" customHeight="1">
      <c r="A20" s="588"/>
      <c r="B20" s="599"/>
      <c r="C20" s="464" t="s">
        <v>56</v>
      </c>
      <c r="D20" s="464" t="s">
        <v>83</v>
      </c>
      <c r="E20" s="464" t="s">
        <v>57</v>
      </c>
      <c r="F20" s="54"/>
      <c r="G20" s="54"/>
      <c r="H20" s="54"/>
      <c r="I20" s="292" t="s">
        <v>1013</v>
      </c>
      <c r="J20" s="487" t="s">
        <v>68</v>
      </c>
      <c r="K20" s="487" t="s">
        <v>1014</v>
      </c>
      <c r="L20" s="464"/>
      <c r="M20" s="464"/>
      <c r="N20" s="47">
        <v>3205.1729999999998</v>
      </c>
      <c r="O20" s="47">
        <v>3205.1729999999998</v>
      </c>
      <c r="P20" s="47">
        <v>4586.2</v>
      </c>
      <c r="Q20" s="47">
        <v>3356.2</v>
      </c>
      <c r="R20" s="47">
        <v>3356.2</v>
      </c>
    </row>
    <row r="21" spans="1:18" s="115" customFormat="1" ht="60" hidden="1" customHeight="1">
      <c r="A21" s="69" t="s">
        <v>605</v>
      </c>
      <c r="B21" s="493">
        <v>1013</v>
      </c>
      <c r="C21" s="491"/>
      <c r="D21" s="491"/>
      <c r="E21" s="491"/>
      <c r="F21" s="491"/>
      <c r="G21" s="99"/>
      <c r="H21" s="189"/>
      <c r="I21" s="178"/>
      <c r="J21" s="11"/>
      <c r="K21" s="11"/>
      <c r="L21" s="493"/>
      <c r="M21" s="493"/>
      <c r="N21" s="69">
        <v>0</v>
      </c>
      <c r="O21" s="69">
        <v>0</v>
      </c>
      <c r="P21" s="69">
        <v>0</v>
      </c>
      <c r="Q21" s="69">
        <v>0</v>
      </c>
      <c r="R21" s="69">
        <v>0</v>
      </c>
    </row>
    <row r="22" spans="1:18" s="115" customFormat="1" ht="108.75" hidden="1" customHeight="1">
      <c r="A22" s="55" t="s">
        <v>606</v>
      </c>
      <c r="B22" s="468">
        <v>1014</v>
      </c>
      <c r="C22" s="459" t="s">
        <v>56</v>
      </c>
      <c r="D22" s="459" t="s">
        <v>345</v>
      </c>
      <c r="E22" s="459" t="s">
        <v>57</v>
      </c>
      <c r="F22" s="459" t="s">
        <v>437</v>
      </c>
      <c r="G22" s="45" t="s">
        <v>68</v>
      </c>
      <c r="H22" s="61" t="s">
        <v>438</v>
      </c>
      <c r="I22" s="33" t="s">
        <v>84</v>
      </c>
      <c r="J22" s="1" t="s">
        <v>68</v>
      </c>
      <c r="K22" s="1" t="s">
        <v>85</v>
      </c>
      <c r="L22" s="468" t="s">
        <v>32</v>
      </c>
      <c r="M22" s="512" t="s">
        <v>26</v>
      </c>
      <c r="N22" s="78">
        <v>0</v>
      </c>
      <c r="O22" s="78">
        <v>0</v>
      </c>
      <c r="P22" s="78">
        <v>0</v>
      </c>
      <c r="Q22" s="78"/>
      <c r="R22" s="78">
        <v>0</v>
      </c>
    </row>
    <row r="23" spans="1:18" s="115" customFormat="1" ht="48">
      <c r="A23" s="39" t="s">
        <v>607</v>
      </c>
      <c r="B23" s="40">
        <v>1015</v>
      </c>
      <c r="C23" s="39"/>
      <c r="D23" s="39"/>
      <c r="E23" s="39"/>
      <c r="F23" s="39"/>
      <c r="G23" s="39"/>
      <c r="H23" s="39"/>
      <c r="I23" s="3"/>
      <c r="J23" s="4"/>
      <c r="K23" s="4"/>
      <c r="L23" s="40"/>
      <c r="M23" s="142"/>
      <c r="N23" s="227">
        <f>SUM(N25:N27)</f>
        <v>530.34300000000007</v>
      </c>
      <c r="O23" s="227">
        <f t="shared" ref="O23:R23" si="4">SUM(O25:O27)</f>
        <v>520.94299999999998</v>
      </c>
      <c r="P23" s="227">
        <f t="shared" si="4"/>
        <v>408.1</v>
      </c>
      <c r="Q23" s="227">
        <f t="shared" si="4"/>
        <v>308.10000000000002</v>
      </c>
      <c r="R23" s="227">
        <f t="shared" si="4"/>
        <v>308.10000000000002</v>
      </c>
    </row>
    <row r="24" spans="1:18" s="115" customFormat="1" ht="12">
      <c r="A24" s="39" t="s">
        <v>97</v>
      </c>
      <c r="B24" s="40"/>
      <c r="C24" s="39"/>
      <c r="D24" s="39"/>
      <c r="E24" s="39"/>
      <c r="F24" s="39"/>
      <c r="G24" s="39"/>
      <c r="H24" s="39"/>
      <c r="I24" s="3"/>
      <c r="J24" s="4"/>
      <c r="K24" s="4"/>
      <c r="L24" s="467"/>
      <c r="M24" s="511"/>
      <c r="N24" s="165"/>
      <c r="O24" s="165"/>
      <c r="P24" s="165"/>
      <c r="Q24" s="165"/>
      <c r="R24" s="165"/>
    </row>
    <row r="25" spans="1:18" s="116" customFormat="1" ht="12" hidden="1">
      <c r="A25" s="41"/>
      <c r="B25" s="42"/>
      <c r="C25" s="41"/>
      <c r="D25" s="41"/>
      <c r="E25" s="41"/>
      <c r="F25" s="41"/>
      <c r="G25" s="41"/>
      <c r="H25" s="41"/>
      <c r="I25" s="5"/>
      <c r="J25" s="6"/>
      <c r="K25" s="118"/>
      <c r="L25" s="87" t="s">
        <v>32</v>
      </c>
      <c r="M25" s="147" t="s">
        <v>26</v>
      </c>
      <c r="N25" s="228">
        <f>N30</f>
        <v>0</v>
      </c>
      <c r="O25" s="228">
        <f>O30</f>
        <v>0</v>
      </c>
      <c r="P25" s="228">
        <f>P30</f>
        <v>0</v>
      </c>
      <c r="Q25" s="228">
        <f>Q30</f>
        <v>0</v>
      </c>
      <c r="R25" s="228">
        <f>R30</f>
        <v>0</v>
      </c>
    </row>
    <row r="26" spans="1:18" s="116" customFormat="1" ht="12">
      <c r="A26" s="82"/>
      <c r="B26" s="44"/>
      <c r="C26" s="82"/>
      <c r="D26" s="82"/>
      <c r="E26" s="82"/>
      <c r="F26" s="82"/>
      <c r="G26" s="82"/>
      <c r="H26" s="82"/>
      <c r="I26" s="120"/>
      <c r="J26" s="121"/>
      <c r="K26" s="122"/>
      <c r="L26" s="123" t="s">
        <v>41</v>
      </c>
      <c r="M26" s="148" t="s">
        <v>38</v>
      </c>
      <c r="N26" s="229">
        <f t="shared" ref="N26:P27" si="5">N28</f>
        <v>211.04300000000001</v>
      </c>
      <c r="O26" s="229">
        <f t="shared" si="5"/>
        <v>201.643</v>
      </c>
      <c r="P26" s="229">
        <f t="shared" si="5"/>
        <v>50</v>
      </c>
      <c r="Q26" s="229">
        <f>Q28</f>
        <v>0</v>
      </c>
      <c r="R26" s="229">
        <f>R28</f>
        <v>0</v>
      </c>
    </row>
    <row r="27" spans="1:18" s="116" customFormat="1" ht="12">
      <c r="A27" s="85"/>
      <c r="B27" s="119"/>
      <c r="C27" s="85"/>
      <c r="D27" s="85"/>
      <c r="E27" s="85"/>
      <c r="F27" s="85"/>
      <c r="G27" s="85"/>
      <c r="H27" s="85"/>
      <c r="I27" s="124"/>
      <c r="J27" s="14"/>
      <c r="K27" s="14"/>
      <c r="L27" s="87" t="s">
        <v>41</v>
      </c>
      <c r="M27" s="147">
        <v>10</v>
      </c>
      <c r="N27" s="230">
        <f t="shared" si="5"/>
        <v>319.3</v>
      </c>
      <c r="O27" s="230">
        <f t="shared" si="5"/>
        <v>319.3</v>
      </c>
      <c r="P27" s="230">
        <f t="shared" si="5"/>
        <v>358.1</v>
      </c>
      <c r="Q27" s="230">
        <f>Q29</f>
        <v>308.10000000000002</v>
      </c>
      <c r="R27" s="230">
        <f>R29</f>
        <v>308.10000000000002</v>
      </c>
    </row>
    <row r="28" spans="1:18" s="114" customFormat="1" ht="61.5" customHeight="1">
      <c r="A28" s="52"/>
      <c r="B28" s="447"/>
      <c r="C28" s="618" t="s">
        <v>92</v>
      </c>
      <c r="D28" s="601" t="s">
        <v>93</v>
      </c>
      <c r="E28" s="601" t="s">
        <v>94</v>
      </c>
      <c r="F28" s="614" t="s">
        <v>95</v>
      </c>
      <c r="G28" s="452" t="s">
        <v>795</v>
      </c>
      <c r="H28" s="452" t="s">
        <v>96</v>
      </c>
      <c r="I28" s="452" t="s">
        <v>86</v>
      </c>
      <c r="J28" s="452" t="s">
        <v>87</v>
      </c>
      <c r="K28" s="513" t="s">
        <v>88</v>
      </c>
      <c r="L28" s="447" t="s">
        <v>41</v>
      </c>
      <c r="M28" s="506" t="s">
        <v>38</v>
      </c>
      <c r="N28" s="63">
        <v>211.04300000000001</v>
      </c>
      <c r="O28" s="63">
        <v>201.643</v>
      </c>
      <c r="P28" s="63">
        <f>15+35</f>
        <v>50</v>
      </c>
      <c r="Q28" s="63">
        <v>0</v>
      </c>
      <c r="R28" s="63">
        <v>0</v>
      </c>
    </row>
    <row r="29" spans="1:18" s="114" customFormat="1" ht="84" customHeight="1">
      <c r="A29" s="45"/>
      <c r="B29" s="459"/>
      <c r="C29" s="619"/>
      <c r="D29" s="602"/>
      <c r="E29" s="602"/>
      <c r="F29" s="551"/>
      <c r="G29" s="293"/>
      <c r="H29" s="293"/>
      <c r="I29" s="449" t="s">
        <v>598</v>
      </c>
      <c r="J29" s="452" t="s">
        <v>89</v>
      </c>
      <c r="K29" s="513" t="s">
        <v>90</v>
      </c>
      <c r="L29" s="509" t="s">
        <v>41</v>
      </c>
      <c r="M29" s="149">
        <v>10</v>
      </c>
      <c r="N29" s="47">
        <v>319.3</v>
      </c>
      <c r="O29" s="47">
        <v>319.3</v>
      </c>
      <c r="P29" s="47">
        <v>358.1</v>
      </c>
      <c r="Q29" s="47">
        <f>150+158.1</f>
        <v>308.10000000000002</v>
      </c>
      <c r="R29" s="47">
        <f>150+158.1</f>
        <v>308.10000000000002</v>
      </c>
    </row>
    <row r="30" spans="1:18" s="114" customFormat="1" ht="72.75" customHeight="1">
      <c r="A30" s="277"/>
      <c r="B30" s="285"/>
      <c r="C30" s="294" t="s">
        <v>56</v>
      </c>
      <c r="D30" s="294" t="s">
        <v>524</v>
      </c>
      <c r="E30" s="294" t="s">
        <v>57</v>
      </c>
      <c r="F30" s="278"/>
      <c r="G30" s="278"/>
      <c r="H30" s="278"/>
      <c r="I30" s="521" t="s">
        <v>1269</v>
      </c>
      <c r="J30" s="521" t="s">
        <v>68</v>
      </c>
      <c r="K30" s="521" t="s">
        <v>134</v>
      </c>
      <c r="L30" s="72"/>
      <c r="M30" s="150"/>
      <c r="N30" s="64"/>
      <c r="O30" s="64"/>
      <c r="P30" s="64"/>
      <c r="Q30" s="64"/>
      <c r="R30" s="64"/>
    </row>
    <row r="31" spans="1:18" s="115" customFormat="1" ht="108.75" hidden="1" customHeight="1">
      <c r="A31" s="55" t="s">
        <v>608</v>
      </c>
      <c r="B31" s="468">
        <v>1018</v>
      </c>
      <c r="C31" s="274" t="s">
        <v>56</v>
      </c>
      <c r="D31" s="275" t="s">
        <v>346</v>
      </c>
      <c r="E31" s="276" t="s">
        <v>57</v>
      </c>
      <c r="F31" s="45" t="s">
        <v>31</v>
      </c>
      <c r="G31" s="45" t="s">
        <v>31</v>
      </c>
      <c r="H31" s="45" t="s">
        <v>31</v>
      </c>
      <c r="I31" s="447" t="s">
        <v>101</v>
      </c>
      <c r="J31" s="447" t="s">
        <v>68</v>
      </c>
      <c r="K31" s="447" t="s">
        <v>100</v>
      </c>
      <c r="L31" s="467" t="s">
        <v>35</v>
      </c>
      <c r="M31" s="511" t="s">
        <v>41</v>
      </c>
      <c r="N31" s="164">
        <v>0</v>
      </c>
      <c r="O31" s="164">
        <v>0</v>
      </c>
      <c r="P31" s="164">
        <v>0</v>
      </c>
      <c r="Q31" s="164">
        <v>0</v>
      </c>
      <c r="R31" s="164">
        <v>0</v>
      </c>
    </row>
    <row r="32" spans="1:18" s="114" customFormat="1" ht="131.25" customHeight="1">
      <c r="A32" s="37" t="s">
        <v>609</v>
      </c>
      <c r="B32" s="467">
        <v>1019</v>
      </c>
      <c r="C32" s="17"/>
      <c r="D32" s="18"/>
      <c r="E32" s="19"/>
      <c r="F32" s="37" t="s">
        <v>31</v>
      </c>
      <c r="G32" s="37" t="s">
        <v>31</v>
      </c>
      <c r="H32" s="37" t="s">
        <v>31</v>
      </c>
      <c r="I32" s="37" t="s">
        <v>31</v>
      </c>
      <c r="J32" s="37" t="s">
        <v>31</v>
      </c>
      <c r="K32" s="37" t="s">
        <v>31</v>
      </c>
      <c r="L32" s="467"/>
      <c r="M32" s="511"/>
      <c r="N32" s="164">
        <f>SUM(N34:N35)</f>
        <v>137607.72400000002</v>
      </c>
      <c r="O32" s="164">
        <f t="shared" ref="O32:R32" si="6">SUM(O34:O35)</f>
        <v>137505.326</v>
      </c>
      <c r="P32" s="164">
        <f t="shared" si="6"/>
        <v>141214.46299999999</v>
      </c>
      <c r="Q32" s="164">
        <f t="shared" si="6"/>
        <v>108174.33500000001</v>
      </c>
      <c r="R32" s="164">
        <f t="shared" si="6"/>
        <v>107566.5</v>
      </c>
    </row>
    <row r="33" spans="1:18" s="114" customFormat="1" ht="13.5" customHeight="1">
      <c r="A33" s="69" t="s">
        <v>97</v>
      </c>
      <c r="B33" s="493"/>
      <c r="C33" s="205"/>
      <c r="D33" s="205"/>
      <c r="E33" s="205"/>
      <c r="F33" s="69"/>
      <c r="G33" s="69"/>
      <c r="H33" s="69"/>
      <c r="I33" s="69"/>
      <c r="J33" s="69"/>
      <c r="K33" s="69"/>
      <c r="L33" s="493"/>
      <c r="M33" s="493"/>
      <c r="N33" s="98"/>
      <c r="O33" s="98"/>
      <c r="P33" s="98"/>
      <c r="Q33" s="98"/>
      <c r="R33" s="98"/>
    </row>
    <row r="34" spans="1:18" s="116" customFormat="1" ht="13.5" customHeight="1">
      <c r="A34" s="85"/>
      <c r="B34" s="119"/>
      <c r="C34" s="214"/>
      <c r="D34" s="214"/>
      <c r="E34" s="214"/>
      <c r="F34" s="85"/>
      <c r="G34" s="85"/>
      <c r="H34" s="85"/>
      <c r="I34" s="85"/>
      <c r="J34" s="85"/>
      <c r="K34" s="85"/>
      <c r="L34" s="87" t="s">
        <v>43</v>
      </c>
      <c r="M34" s="87" t="s">
        <v>32</v>
      </c>
      <c r="N34" s="230">
        <f>N36+N38+N39</f>
        <v>106543.37800000001</v>
      </c>
      <c r="O34" s="230">
        <f t="shared" ref="O34" si="7">O36+O38+O39</f>
        <v>106524.37800000001</v>
      </c>
      <c r="P34" s="230">
        <f>P36+P38+P39+P41+P42+P43+P44+P45</f>
        <v>108757.363</v>
      </c>
      <c r="Q34" s="230">
        <f t="shared" ref="Q34:R34" si="8">Q36+Q38+Q39+Q41+Q42+Q43+Q44+Q45</f>
        <v>75932.835000000006</v>
      </c>
      <c r="R34" s="230">
        <f t="shared" si="8"/>
        <v>75325</v>
      </c>
    </row>
    <row r="35" spans="1:18" s="116" customFormat="1" ht="13.5" customHeight="1">
      <c r="A35" s="85"/>
      <c r="B35" s="119"/>
      <c r="C35" s="214"/>
      <c r="D35" s="214"/>
      <c r="E35" s="214"/>
      <c r="F35" s="85"/>
      <c r="G35" s="85"/>
      <c r="H35" s="85"/>
      <c r="I35" s="85"/>
      <c r="J35" s="85"/>
      <c r="K35" s="85"/>
      <c r="L35" s="87" t="s">
        <v>43</v>
      </c>
      <c r="M35" s="87" t="s">
        <v>36</v>
      </c>
      <c r="N35" s="230">
        <f>N37</f>
        <v>31064.346000000001</v>
      </c>
      <c r="O35" s="230">
        <f t="shared" ref="O35:P35" si="9">O37</f>
        <v>30980.948</v>
      </c>
      <c r="P35" s="230">
        <f t="shared" si="9"/>
        <v>32457.1</v>
      </c>
      <c r="Q35" s="230">
        <f t="shared" ref="Q35:R35" si="10">Q37</f>
        <v>32241.5</v>
      </c>
      <c r="R35" s="230">
        <f t="shared" si="10"/>
        <v>32241.5</v>
      </c>
    </row>
    <row r="36" spans="1:18" s="203" customFormat="1" ht="42" customHeight="1">
      <c r="A36" s="611" t="s">
        <v>704</v>
      </c>
      <c r="B36" s="612"/>
      <c r="C36" s="555" t="s">
        <v>355</v>
      </c>
      <c r="D36" s="555" t="s">
        <v>349</v>
      </c>
      <c r="E36" s="555" t="s">
        <v>60</v>
      </c>
      <c r="F36" s="555" t="s">
        <v>353</v>
      </c>
      <c r="G36" s="555" t="s">
        <v>328</v>
      </c>
      <c r="H36" s="555" t="s">
        <v>227</v>
      </c>
      <c r="I36" s="555" t="s">
        <v>329</v>
      </c>
      <c r="J36" s="555" t="s">
        <v>68</v>
      </c>
      <c r="K36" s="617" t="s">
        <v>116</v>
      </c>
      <c r="L36" s="100" t="s">
        <v>43</v>
      </c>
      <c r="M36" s="100" t="s">
        <v>32</v>
      </c>
      <c r="N36" s="110">
        <f>72551.588+4657.49</f>
        <v>77209.078000000009</v>
      </c>
      <c r="O36" s="110">
        <f>72551.588+4657.49</f>
        <v>77209.078000000009</v>
      </c>
      <c r="P36" s="110">
        <f>76015.3+905.715</f>
        <v>76921.014999999999</v>
      </c>
      <c r="Q36" s="110">
        <v>75325</v>
      </c>
      <c r="R36" s="110">
        <v>75325</v>
      </c>
    </row>
    <row r="37" spans="1:18" s="203" customFormat="1" ht="42" customHeight="1">
      <c r="A37" s="611"/>
      <c r="B37" s="612"/>
      <c r="C37" s="555"/>
      <c r="D37" s="555"/>
      <c r="E37" s="555"/>
      <c r="F37" s="555"/>
      <c r="G37" s="555"/>
      <c r="H37" s="555"/>
      <c r="I37" s="555"/>
      <c r="J37" s="555"/>
      <c r="K37" s="617"/>
      <c r="L37" s="100" t="s">
        <v>43</v>
      </c>
      <c r="M37" s="100" t="s">
        <v>36</v>
      </c>
      <c r="N37" s="110">
        <v>31064.346000000001</v>
      </c>
      <c r="O37" s="110">
        <v>30980.948</v>
      </c>
      <c r="P37" s="110">
        <v>32457.1</v>
      </c>
      <c r="Q37" s="110">
        <v>32241.5</v>
      </c>
      <c r="R37" s="110">
        <v>32241.5</v>
      </c>
    </row>
    <row r="38" spans="1:18" s="114" customFormat="1" ht="71.25" customHeight="1">
      <c r="A38" s="54" t="s">
        <v>705</v>
      </c>
      <c r="B38" s="519"/>
      <c r="C38" s="449"/>
      <c r="D38" s="449"/>
      <c r="E38" s="449"/>
      <c r="F38" s="449"/>
      <c r="G38" s="449"/>
      <c r="H38" s="449"/>
      <c r="I38" s="449" t="s">
        <v>724</v>
      </c>
      <c r="J38" s="449" t="s">
        <v>133</v>
      </c>
      <c r="K38" s="449" t="s">
        <v>134</v>
      </c>
      <c r="L38" s="138" t="s">
        <v>43</v>
      </c>
      <c r="M38" s="157" t="s">
        <v>32</v>
      </c>
      <c r="N38" s="381">
        <v>1999</v>
      </c>
      <c r="O38" s="381">
        <v>1999</v>
      </c>
      <c r="P38" s="381">
        <v>220</v>
      </c>
      <c r="Q38" s="381">
        <v>0</v>
      </c>
      <c r="R38" s="381">
        <v>0</v>
      </c>
    </row>
    <row r="39" spans="1:18" s="203" customFormat="1" ht="120.75" customHeight="1">
      <c r="A39" s="101" t="s">
        <v>706</v>
      </c>
      <c r="B39" s="518" t="s">
        <v>337</v>
      </c>
      <c r="C39" s="440"/>
      <c r="D39" s="440"/>
      <c r="E39" s="440"/>
      <c r="F39" s="541" t="s">
        <v>526</v>
      </c>
      <c r="G39" s="421" t="s">
        <v>89</v>
      </c>
      <c r="H39" s="421" t="s">
        <v>527</v>
      </c>
      <c r="I39" s="440" t="s">
        <v>939</v>
      </c>
      <c r="J39" s="440" t="s">
        <v>68</v>
      </c>
      <c r="K39" s="504" t="s">
        <v>478</v>
      </c>
      <c r="L39" s="518" t="s">
        <v>43</v>
      </c>
      <c r="M39" s="518" t="s">
        <v>32</v>
      </c>
      <c r="N39" s="88">
        <v>27335.3</v>
      </c>
      <c r="O39" s="88">
        <v>27316.3</v>
      </c>
      <c r="P39" s="88">
        <v>0</v>
      </c>
      <c r="Q39" s="88">
        <v>0</v>
      </c>
      <c r="R39" s="88">
        <v>0</v>
      </c>
    </row>
    <row r="40" spans="1:18" s="203" customFormat="1" ht="51.75" customHeight="1">
      <c r="A40" s="54"/>
      <c r="B40" s="519"/>
      <c r="C40" s="449"/>
      <c r="D40" s="449"/>
      <c r="E40" s="449"/>
      <c r="F40" s="539"/>
      <c r="G40" s="295"/>
      <c r="H40" s="295"/>
      <c r="I40" s="464" t="s">
        <v>91</v>
      </c>
      <c r="J40" s="464" t="s">
        <v>68</v>
      </c>
      <c r="K40" s="464" t="s">
        <v>71</v>
      </c>
      <c r="L40" s="519"/>
      <c r="M40" s="519"/>
      <c r="N40" s="89"/>
      <c r="O40" s="89"/>
      <c r="P40" s="89"/>
      <c r="Q40" s="89"/>
      <c r="R40" s="89"/>
    </row>
    <row r="41" spans="1:18" s="203" customFormat="1" ht="96" customHeight="1">
      <c r="A41" s="54" t="s">
        <v>1188</v>
      </c>
      <c r="B41" s="519" t="s">
        <v>1190</v>
      </c>
      <c r="C41" s="449"/>
      <c r="D41" s="449"/>
      <c r="E41" s="449"/>
      <c r="F41" s="295"/>
      <c r="G41" s="295"/>
      <c r="H41" s="295"/>
      <c r="I41" s="540" t="s">
        <v>1381</v>
      </c>
      <c r="J41" s="464" t="s">
        <v>68</v>
      </c>
      <c r="K41" s="464" t="s">
        <v>1382</v>
      </c>
      <c r="L41" s="519" t="s">
        <v>43</v>
      </c>
      <c r="M41" s="519" t="s">
        <v>32</v>
      </c>
      <c r="N41" s="89">
        <v>0</v>
      </c>
      <c r="O41" s="89">
        <v>0</v>
      </c>
      <c r="P41" s="89">
        <v>30000</v>
      </c>
      <c r="Q41" s="89">
        <v>0</v>
      </c>
      <c r="R41" s="89">
        <v>0</v>
      </c>
    </row>
    <row r="42" spans="1:18" s="203" customFormat="1" ht="11.25" customHeight="1">
      <c r="A42" s="54"/>
      <c r="B42" s="519"/>
      <c r="C42" s="449"/>
      <c r="D42" s="449"/>
      <c r="E42" s="449"/>
      <c r="F42" s="295"/>
      <c r="G42" s="295"/>
      <c r="H42" s="295"/>
      <c r="I42" s="540"/>
      <c r="J42" s="464"/>
      <c r="K42" s="464"/>
      <c r="L42" s="519"/>
      <c r="M42" s="519"/>
      <c r="N42" s="89">
        <v>0</v>
      </c>
      <c r="O42" s="89">
        <v>0</v>
      </c>
      <c r="P42" s="89">
        <v>30</v>
      </c>
      <c r="Q42" s="89">
        <v>0</v>
      </c>
      <c r="R42" s="89">
        <v>0</v>
      </c>
    </row>
    <row r="43" spans="1:18" s="203" customFormat="1" ht="61.5" customHeight="1">
      <c r="A43" s="54" t="s">
        <v>1189</v>
      </c>
      <c r="B43" s="519" t="s">
        <v>1191</v>
      </c>
      <c r="C43" s="449"/>
      <c r="D43" s="449"/>
      <c r="E43" s="449"/>
      <c r="F43" s="539" t="s">
        <v>1364</v>
      </c>
      <c r="G43" s="295" t="s">
        <v>1365</v>
      </c>
      <c r="H43" s="539" t="s">
        <v>1345</v>
      </c>
      <c r="I43" s="540" t="s">
        <v>1463</v>
      </c>
      <c r="J43" s="540" t="s">
        <v>68</v>
      </c>
      <c r="K43" s="540" t="s">
        <v>1388</v>
      </c>
      <c r="L43" s="519" t="s">
        <v>43</v>
      </c>
      <c r="M43" s="519" t="s">
        <v>32</v>
      </c>
      <c r="N43" s="89">
        <v>0</v>
      </c>
      <c r="O43" s="89">
        <v>0</v>
      </c>
      <c r="P43" s="89">
        <v>399.00799999999998</v>
      </c>
      <c r="Q43" s="89">
        <v>589.6</v>
      </c>
      <c r="R43" s="89">
        <v>0</v>
      </c>
    </row>
    <row r="44" spans="1:18" s="203" customFormat="1" ht="72.75" customHeight="1">
      <c r="A44" s="54" t="s">
        <v>1192</v>
      </c>
      <c r="B44" s="519" t="s">
        <v>1193</v>
      </c>
      <c r="C44" s="449"/>
      <c r="D44" s="449"/>
      <c r="E44" s="449"/>
      <c r="F44" s="539"/>
      <c r="G44" s="295"/>
      <c r="H44" s="539"/>
      <c r="I44" s="540"/>
      <c r="J44" s="540"/>
      <c r="K44" s="540"/>
      <c r="L44" s="519" t="s">
        <v>43</v>
      </c>
      <c r="M44" s="519" t="s">
        <v>32</v>
      </c>
      <c r="N44" s="89">
        <v>0</v>
      </c>
      <c r="O44" s="89">
        <v>0</v>
      </c>
      <c r="P44" s="89">
        <v>12.34</v>
      </c>
      <c r="Q44" s="89">
        <v>18.234999999999999</v>
      </c>
      <c r="R44" s="89">
        <v>0</v>
      </c>
    </row>
    <row r="45" spans="1:18" s="203" customFormat="1" ht="62.25" customHeight="1">
      <c r="A45" s="54" t="s">
        <v>1399</v>
      </c>
      <c r="B45" s="519" t="s">
        <v>1400</v>
      </c>
      <c r="C45" s="449"/>
      <c r="D45" s="449"/>
      <c r="E45" s="449"/>
      <c r="F45" s="449"/>
      <c r="G45" s="295"/>
      <c r="H45" s="449"/>
      <c r="I45" s="501" t="s">
        <v>91</v>
      </c>
      <c r="J45" s="501" t="s">
        <v>68</v>
      </c>
      <c r="K45" s="501" t="s">
        <v>71</v>
      </c>
      <c r="L45" s="519" t="s">
        <v>43</v>
      </c>
      <c r="M45" s="519" t="s">
        <v>32</v>
      </c>
      <c r="N45" s="89">
        <v>0</v>
      </c>
      <c r="O45" s="89">
        <v>0</v>
      </c>
      <c r="P45" s="89">
        <v>1175</v>
      </c>
      <c r="Q45" s="89">
        <v>0</v>
      </c>
      <c r="R45" s="89">
        <v>0</v>
      </c>
    </row>
    <row r="46" spans="1:18" s="114" customFormat="1" ht="26.25" hidden="1" customHeight="1">
      <c r="A46" s="54" t="s">
        <v>1398</v>
      </c>
      <c r="B46" s="519"/>
      <c r="C46" s="464"/>
      <c r="D46" s="464"/>
      <c r="E46" s="464"/>
      <c r="F46" s="295"/>
      <c r="G46" s="295"/>
      <c r="H46" s="295"/>
      <c r="I46" s="464"/>
      <c r="J46" s="464"/>
      <c r="K46" s="464"/>
      <c r="L46" s="519"/>
      <c r="M46" s="519"/>
      <c r="N46" s="89"/>
      <c r="O46" s="89"/>
      <c r="P46" s="89"/>
      <c r="Q46" s="89"/>
      <c r="R46" s="89"/>
    </row>
    <row r="47" spans="1:18" s="114" customFormat="1" ht="12" hidden="1" customHeight="1">
      <c r="A47" s="54" t="s">
        <v>97</v>
      </c>
      <c r="B47" s="519"/>
      <c r="C47" s="464"/>
      <c r="D47" s="464"/>
      <c r="E47" s="464"/>
      <c r="F47" s="295"/>
      <c r="G47" s="295"/>
      <c r="H47" s="295"/>
      <c r="I47" s="464"/>
      <c r="J47" s="464"/>
      <c r="K47" s="464"/>
      <c r="L47" s="519"/>
      <c r="M47" s="519"/>
      <c r="N47" s="89"/>
      <c r="O47" s="89"/>
      <c r="P47" s="89"/>
      <c r="Q47" s="89"/>
      <c r="R47" s="89"/>
    </row>
    <row r="48" spans="1:18" s="114" customFormat="1" ht="12" hidden="1" customHeight="1">
      <c r="A48" s="327"/>
      <c r="B48" s="238"/>
      <c r="C48" s="431"/>
      <c r="D48" s="431"/>
      <c r="E48" s="431"/>
      <c r="F48" s="422"/>
      <c r="G48" s="422"/>
      <c r="H48" s="422"/>
      <c r="I48" s="431"/>
      <c r="J48" s="431"/>
      <c r="K48" s="431"/>
      <c r="L48" s="238"/>
      <c r="M48" s="238"/>
      <c r="N48" s="90"/>
      <c r="O48" s="90"/>
      <c r="P48" s="90"/>
      <c r="Q48" s="90"/>
      <c r="R48" s="90"/>
    </row>
    <row r="49" spans="1:18" s="114" customFormat="1" ht="146.25" customHeight="1">
      <c r="A49" s="231" t="s">
        <v>610</v>
      </c>
      <c r="B49" s="176" t="s">
        <v>386</v>
      </c>
      <c r="C49" s="232"/>
      <c r="D49" s="232"/>
      <c r="E49" s="232"/>
      <c r="F49" s="232"/>
      <c r="G49" s="232"/>
      <c r="H49" s="233"/>
      <c r="I49" s="232"/>
      <c r="J49" s="232"/>
      <c r="K49" s="233"/>
      <c r="L49" s="234"/>
      <c r="M49" s="234"/>
      <c r="N49" s="241">
        <f t="shared" ref="N49:O49" si="11">SUM(N50:N77)</f>
        <v>39970.099999999991</v>
      </c>
      <c r="O49" s="241">
        <f t="shared" si="11"/>
        <v>34926.001999999986</v>
      </c>
      <c r="P49" s="241">
        <f>SUM(P50:P77)</f>
        <v>66609.446500000005</v>
      </c>
      <c r="Q49" s="241">
        <f t="shared" ref="Q49:R49" si="12">SUM(Q50:Q77)</f>
        <v>35667.485000000001</v>
      </c>
      <c r="R49" s="241">
        <f t="shared" si="12"/>
        <v>29669.166000000005</v>
      </c>
    </row>
    <row r="50" spans="1:18" s="203" customFormat="1" ht="156" customHeight="1">
      <c r="A50" s="609" t="s">
        <v>726</v>
      </c>
      <c r="B50" s="610"/>
      <c r="C50" s="440" t="s">
        <v>355</v>
      </c>
      <c r="D50" s="440" t="s">
        <v>347</v>
      </c>
      <c r="E50" s="440" t="s">
        <v>60</v>
      </c>
      <c r="F50" s="440" t="s">
        <v>353</v>
      </c>
      <c r="G50" s="440" t="s">
        <v>348</v>
      </c>
      <c r="H50" s="440" t="s">
        <v>227</v>
      </c>
      <c r="I50" s="449" t="s">
        <v>877</v>
      </c>
      <c r="J50" s="449" t="s">
        <v>68</v>
      </c>
      <c r="K50" s="449" t="s">
        <v>444</v>
      </c>
      <c r="L50" s="518" t="s">
        <v>43</v>
      </c>
      <c r="M50" s="480" t="s">
        <v>36</v>
      </c>
      <c r="N50" s="88">
        <f>21816.468+6207.928</f>
        <v>28024.396000000001</v>
      </c>
      <c r="O50" s="88">
        <f>21813.301+2133.926</f>
        <v>23947.226999999999</v>
      </c>
      <c r="P50" s="88">
        <f>24293.893+6146.708</f>
        <v>30440.600999999999</v>
      </c>
      <c r="Q50" s="88">
        <v>22297.544999999998</v>
      </c>
      <c r="R50" s="88">
        <v>22297.45</v>
      </c>
    </row>
    <row r="51" spans="1:18" s="203" customFormat="1" ht="60">
      <c r="A51" s="546"/>
      <c r="B51" s="565"/>
      <c r="C51" s="223"/>
      <c r="D51" s="223"/>
      <c r="E51" s="223"/>
      <c r="F51" s="206"/>
      <c r="G51" s="206"/>
      <c r="H51" s="206"/>
      <c r="I51" s="464" t="s">
        <v>323</v>
      </c>
      <c r="J51" s="464" t="s">
        <v>68</v>
      </c>
      <c r="K51" s="464" t="s">
        <v>332</v>
      </c>
      <c r="L51" s="204"/>
      <c r="M51" s="207"/>
      <c r="N51" s="208"/>
      <c r="O51" s="208"/>
      <c r="P51" s="208"/>
      <c r="Q51" s="208"/>
      <c r="R51" s="208"/>
    </row>
    <row r="52" spans="1:18" s="203" customFormat="1" ht="60">
      <c r="A52" s="546"/>
      <c r="B52" s="565"/>
      <c r="C52" s="449" t="s">
        <v>354</v>
      </c>
      <c r="D52" s="449" t="s">
        <v>725</v>
      </c>
      <c r="E52" s="449" t="s">
        <v>525</v>
      </c>
      <c r="F52" s="206"/>
      <c r="G52" s="206"/>
      <c r="H52" s="206"/>
      <c r="I52" s="464" t="s">
        <v>515</v>
      </c>
      <c r="J52" s="464" t="s">
        <v>68</v>
      </c>
      <c r="K52" s="464" t="s">
        <v>516</v>
      </c>
      <c r="L52" s="460"/>
      <c r="M52" s="202"/>
      <c r="N52" s="208"/>
      <c r="O52" s="208"/>
      <c r="P52" s="208"/>
      <c r="Q52" s="208"/>
      <c r="R52" s="208"/>
    </row>
    <row r="53" spans="1:18" s="203" customFormat="1" ht="48">
      <c r="A53" s="224"/>
      <c r="B53" s="460"/>
      <c r="C53" s="449"/>
      <c r="D53" s="449"/>
      <c r="E53" s="449"/>
      <c r="F53" s="449"/>
      <c r="G53" s="449"/>
      <c r="H53" s="449"/>
      <c r="I53" s="449" t="s">
        <v>91</v>
      </c>
      <c r="J53" s="449" t="s">
        <v>68</v>
      </c>
      <c r="K53" s="450" t="s">
        <v>71</v>
      </c>
      <c r="L53" s="460"/>
      <c r="M53" s="460"/>
      <c r="N53" s="208"/>
      <c r="O53" s="208"/>
      <c r="P53" s="208"/>
      <c r="Q53" s="208"/>
      <c r="R53" s="208"/>
    </row>
    <row r="54" spans="1:18" s="114" customFormat="1" ht="48.75" customHeight="1">
      <c r="A54" s="546" t="s">
        <v>707</v>
      </c>
      <c r="B54" s="519"/>
      <c r="C54" s="449" t="s">
        <v>354</v>
      </c>
      <c r="D54" s="449" t="s">
        <v>849</v>
      </c>
      <c r="E54" s="449" t="s">
        <v>525</v>
      </c>
      <c r="F54" s="539" t="s">
        <v>325</v>
      </c>
      <c r="G54" s="539" t="s">
        <v>326</v>
      </c>
      <c r="H54" s="539" t="s">
        <v>308</v>
      </c>
      <c r="I54" s="539" t="s">
        <v>1440</v>
      </c>
      <c r="J54" s="539" t="s">
        <v>68</v>
      </c>
      <c r="K54" s="603" t="s">
        <v>1036</v>
      </c>
      <c r="L54" s="100" t="s">
        <v>43</v>
      </c>
      <c r="M54" s="100" t="s">
        <v>36</v>
      </c>
      <c r="N54" s="110">
        <v>739.99400000000003</v>
      </c>
      <c r="O54" s="110">
        <v>739.99400000000003</v>
      </c>
      <c r="P54" s="110">
        <v>1676.55</v>
      </c>
      <c r="Q54" s="110">
        <v>1661.4</v>
      </c>
      <c r="R54" s="110">
        <v>1661.4</v>
      </c>
    </row>
    <row r="55" spans="1:18" s="114" customFormat="1" ht="34.5" customHeight="1">
      <c r="A55" s="546"/>
      <c r="B55" s="519" t="s">
        <v>327</v>
      </c>
      <c r="C55" s="449"/>
      <c r="D55" s="449"/>
      <c r="E55" s="449"/>
      <c r="F55" s="539"/>
      <c r="G55" s="539"/>
      <c r="H55" s="539"/>
      <c r="I55" s="539"/>
      <c r="J55" s="539"/>
      <c r="K55" s="603"/>
      <c r="L55" s="100" t="s">
        <v>43</v>
      </c>
      <c r="M55" s="100" t="s">
        <v>36</v>
      </c>
      <c r="N55" s="89">
        <v>4119.2430000000004</v>
      </c>
      <c r="O55" s="89">
        <v>3576.7939999999999</v>
      </c>
      <c r="P55" s="89">
        <v>2991</v>
      </c>
      <c r="Q55" s="89">
        <v>3906.65</v>
      </c>
      <c r="R55" s="89">
        <v>3906.65</v>
      </c>
    </row>
    <row r="56" spans="1:18" s="203" customFormat="1" ht="96.75" customHeight="1">
      <c r="A56" s="54" t="s">
        <v>818</v>
      </c>
      <c r="B56" s="519" t="s">
        <v>489</v>
      </c>
      <c r="C56" s="449" t="s">
        <v>354</v>
      </c>
      <c r="D56" s="449" t="s">
        <v>342</v>
      </c>
      <c r="E56" s="449" t="s">
        <v>324</v>
      </c>
      <c r="F56" s="449" t="s">
        <v>805</v>
      </c>
      <c r="G56" s="449" t="s">
        <v>70</v>
      </c>
      <c r="H56" s="449" t="s">
        <v>806</v>
      </c>
      <c r="I56" s="449" t="s">
        <v>1449</v>
      </c>
      <c r="J56" s="449" t="s">
        <v>68</v>
      </c>
      <c r="K56" s="450" t="s">
        <v>924</v>
      </c>
      <c r="L56" s="236" t="s">
        <v>43</v>
      </c>
      <c r="M56" s="237" t="s">
        <v>36</v>
      </c>
      <c r="N56" s="110">
        <v>863.7</v>
      </c>
      <c r="O56" s="110">
        <v>863.7</v>
      </c>
      <c r="P56" s="110">
        <v>857.8</v>
      </c>
      <c r="Q56" s="110">
        <v>857.8</v>
      </c>
      <c r="R56" s="110">
        <v>857.8</v>
      </c>
    </row>
    <row r="57" spans="1:18" s="203" customFormat="1" ht="111" customHeight="1">
      <c r="A57" s="54" t="s">
        <v>819</v>
      </c>
      <c r="B57" s="519" t="s">
        <v>338</v>
      </c>
      <c r="C57" s="449" t="s">
        <v>354</v>
      </c>
      <c r="D57" s="449" t="s">
        <v>339</v>
      </c>
      <c r="E57" s="449" t="s">
        <v>341</v>
      </c>
      <c r="F57" s="449" t="s">
        <v>807</v>
      </c>
      <c r="G57" s="450" t="s">
        <v>808</v>
      </c>
      <c r="H57" s="449" t="s">
        <v>308</v>
      </c>
      <c r="I57" s="449" t="s">
        <v>850</v>
      </c>
      <c r="J57" s="449" t="s">
        <v>68</v>
      </c>
      <c r="K57" s="450" t="s">
        <v>440</v>
      </c>
      <c r="L57" s="76" t="s">
        <v>43</v>
      </c>
      <c r="M57" s="156" t="s">
        <v>36</v>
      </c>
      <c r="N57" s="125">
        <v>1123.0999999999999</v>
      </c>
      <c r="O57" s="125">
        <v>960</v>
      </c>
      <c r="P57" s="125">
        <v>0</v>
      </c>
      <c r="Q57" s="125">
        <v>0</v>
      </c>
      <c r="R57" s="125">
        <v>0</v>
      </c>
    </row>
    <row r="58" spans="1:18" s="203" customFormat="1" ht="144" customHeight="1">
      <c r="A58" s="54" t="s">
        <v>820</v>
      </c>
      <c r="B58" s="519" t="s">
        <v>340</v>
      </c>
      <c r="C58" s="449" t="s">
        <v>354</v>
      </c>
      <c r="D58" s="449" t="s">
        <v>339</v>
      </c>
      <c r="E58" s="449" t="s">
        <v>324</v>
      </c>
      <c r="F58" s="449" t="s">
        <v>809</v>
      </c>
      <c r="G58" s="450" t="s">
        <v>68</v>
      </c>
      <c r="H58" s="449" t="s">
        <v>428</v>
      </c>
      <c r="I58" s="449" t="s">
        <v>449</v>
      </c>
      <c r="J58" s="449" t="s">
        <v>68</v>
      </c>
      <c r="K58" s="450" t="s">
        <v>118</v>
      </c>
      <c r="L58" s="76" t="s">
        <v>43</v>
      </c>
      <c r="M58" s="156" t="s">
        <v>36</v>
      </c>
      <c r="N58" s="125">
        <v>618</v>
      </c>
      <c r="O58" s="125">
        <v>443</v>
      </c>
      <c r="P58" s="125">
        <v>699.66600000000005</v>
      </c>
      <c r="Q58" s="125">
        <v>699.66600000000005</v>
      </c>
      <c r="R58" s="125">
        <v>699.66600000000005</v>
      </c>
    </row>
    <row r="59" spans="1:18" s="203" customFormat="1" ht="42.75" customHeight="1">
      <c r="A59" s="546" t="s">
        <v>892</v>
      </c>
      <c r="B59" s="519" t="s">
        <v>891</v>
      </c>
      <c r="C59" s="449"/>
      <c r="D59" s="449"/>
      <c r="E59" s="449"/>
      <c r="F59" s="449"/>
      <c r="G59" s="450"/>
      <c r="H59" s="449"/>
      <c r="I59" s="539" t="s">
        <v>1259</v>
      </c>
      <c r="J59" s="539" t="s">
        <v>68</v>
      </c>
      <c r="K59" s="603" t="s">
        <v>1260</v>
      </c>
      <c r="L59" s="519" t="s">
        <v>43</v>
      </c>
      <c r="M59" s="519" t="s">
        <v>36</v>
      </c>
      <c r="N59" s="89">
        <v>1457.9190000000001</v>
      </c>
      <c r="O59" s="89">
        <v>1457.9190000000001</v>
      </c>
      <c r="P59" s="89">
        <f>3250.626/2</f>
        <v>1625.3130000000001</v>
      </c>
      <c r="Q59" s="89">
        <v>0</v>
      </c>
      <c r="R59" s="89">
        <v>0</v>
      </c>
    </row>
    <row r="60" spans="1:18" s="203" customFormat="1" ht="42.75" customHeight="1">
      <c r="A60" s="546"/>
      <c r="B60" s="519" t="s">
        <v>887</v>
      </c>
      <c r="C60" s="449"/>
      <c r="D60" s="449"/>
      <c r="E60" s="449"/>
      <c r="F60" s="449"/>
      <c r="G60" s="450"/>
      <c r="H60" s="449"/>
      <c r="I60" s="539"/>
      <c r="J60" s="539"/>
      <c r="K60" s="603"/>
      <c r="L60" s="519" t="s">
        <v>43</v>
      </c>
      <c r="M60" s="519" t="s">
        <v>36</v>
      </c>
      <c r="N60" s="89">
        <v>45.090499999999999</v>
      </c>
      <c r="O60" s="89">
        <v>45.090499999999999</v>
      </c>
      <c r="P60" s="89">
        <f>100.535/2</f>
        <v>50.267499999999998</v>
      </c>
      <c r="Q60" s="89">
        <v>0</v>
      </c>
      <c r="R60" s="89">
        <v>0</v>
      </c>
    </row>
    <row r="61" spans="1:18" s="203" customFormat="1" ht="45" customHeight="1">
      <c r="A61" s="546" t="s">
        <v>888</v>
      </c>
      <c r="B61" s="519" t="s">
        <v>889</v>
      </c>
      <c r="C61" s="449"/>
      <c r="D61" s="449"/>
      <c r="E61" s="449"/>
      <c r="F61" s="449"/>
      <c r="G61" s="450"/>
      <c r="H61" s="449"/>
      <c r="I61" s="539" t="s">
        <v>1063</v>
      </c>
      <c r="J61" s="539" t="s">
        <v>68</v>
      </c>
      <c r="K61" s="603" t="s">
        <v>934</v>
      </c>
      <c r="L61" s="519" t="s">
        <v>43</v>
      </c>
      <c r="M61" s="519" t="s">
        <v>36</v>
      </c>
      <c r="N61" s="89">
        <v>1193.3844999999999</v>
      </c>
      <c r="O61" s="89">
        <v>1193.3844999999999</v>
      </c>
      <c r="P61" s="89">
        <f>8799.021/2</f>
        <v>4399.5105000000003</v>
      </c>
      <c r="Q61" s="89">
        <f>10356.094/2</f>
        <v>5178.0469999999996</v>
      </c>
      <c r="R61" s="89">
        <v>0</v>
      </c>
    </row>
    <row r="62" spans="1:18" s="203" customFormat="1" ht="39" customHeight="1">
      <c r="A62" s="546"/>
      <c r="B62" s="519" t="s">
        <v>890</v>
      </c>
      <c r="C62" s="449"/>
      <c r="D62" s="449"/>
      <c r="E62" s="449"/>
      <c r="F62" s="449"/>
      <c r="G62" s="450"/>
      <c r="H62" s="449"/>
      <c r="I62" s="539"/>
      <c r="J62" s="539"/>
      <c r="K62" s="603"/>
      <c r="L62" s="519" t="s">
        <v>43</v>
      </c>
      <c r="M62" s="154" t="s">
        <v>36</v>
      </c>
      <c r="N62" s="89">
        <v>36.908999999999999</v>
      </c>
      <c r="O62" s="89">
        <v>36.908999999999999</v>
      </c>
      <c r="P62" s="89">
        <f>272.135/2</f>
        <v>136.0675</v>
      </c>
      <c r="Q62" s="89">
        <f>320.292/2</f>
        <v>160.14599999999999</v>
      </c>
      <c r="R62" s="89">
        <v>0</v>
      </c>
    </row>
    <row r="63" spans="1:18" s="203" customFormat="1" ht="63" customHeight="1">
      <c r="A63" s="445" t="s">
        <v>975</v>
      </c>
      <c r="B63" s="519" t="s">
        <v>976</v>
      </c>
      <c r="C63" s="449"/>
      <c r="D63" s="449"/>
      <c r="E63" s="449"/>
      <c r="F63" s="449"/>
      <c r="G63" s="450"/>
      <c r="H63" s="449"/>
      <c r="I63" s="449" t="s">
        <v>1102</v>
      </c>
      <c r="J63" s="449" t="s">
        <v>68</v>
      </c>
      <c r="K63" s="450" t="s">
        <v>1034</v>
      </c>
      <c r="L63" s="519" t="s">
        <v>43</v>
      </c>
      <c r="M63" s="154" t="s">
        <v>36</v>
      </c>
      <c r="N63" s="89">
        <v>2.625</v>
      </c>
      <c r="O63" s="89">
        <v>2.625</v>
      </c>
      <c r="P63" s="89">
        <v>0</v>
      </c>
      <c r="Q63" s="89">
        <v>0</v>
      </c>
      <c r="R63" s="89">
        <v>0</v>
      </c>
    </row>
    <row r="64" spans="1:18" s="203" customFormat="1" ht="60">
      <c r="A64" s="445" t="s">
        <v>1194</v>
      </c>
      <c r="B64" s="519" t="s">
        <v>1195</v>
      </c>
      <c r="C64" s="449"/>
      <c r="D64" s="449"/>
      <c r="E64" s="449"/>
      <c r="F64" s="449"/>
      <c r="G64" s="450"/>
      <c r="H64" s="449"/>
      <c r="I64" s="464" t="s">
        <v>91</v>
      </c>
      <c r="J64" s="464" t="s">
        <v>68</v>
      </c>
      <c r="K64" s="464" t="s">
        <v>71</v>
      </c>
      <c r="L64" s="519" t="s">
        <v>43</v>
      </c>
      <c r="M64" s="154" t="s">
        <v>36</v>
      </c>
      <c r="N64" s="89">
        <v>0</v>
      </c>
      <c r="O64" s="89">
        <v>0</v>
      </c>
      <c r="P64" s="89">
        <v>1337.8</v>
      </c>
      <c r="Q64" s="89">
        <v>0</v>
      </c>
      <c r="R64" s="89">
        <v>0</v>
      </c>
    </row>
    <row r="65" spans="1:18" s="203" customFormat="1" ht="96" customHeight="1">
      <c r="A65" s="445" t="s">
        <v>1402</v>
      </c>
      <c r="B65" s="519"/>
      <c r="C65" s="449"/>
      <c r="D65" s="449"/>
      <c r="E65" s="449"/>
      <c r="F65" s="449"/>
      <c r="G65" s="450"/>
      <c r="H65" s="449"/>
      <c r="I65" s="449"/>
      <c r="J65" s="449"/>
      <c r="K65" s="450"/>
      <c r="L65" s="519" t="s">
        <v>43</v>
      </c>
      <c r="M65" s="154" t="s">
        <v>36</v>
      </c>
      <c r="N65" s="89">
        <v>0</v>
      </c>
      <c r="O65" s="89">
        <v>0</v>
      </c>
      <c r="P65" s="89">
        <v>18858.7</v>
      </c>
      <c r="Q65" s="89">
        <v>0</v>
      </c>
      <c r="R65" s="89">
        <v>0</v>
      </c>
    </row>
    <row r="66" spans="1:18" s="203" customFormat="1" ht="61.5" customHeight="1">
      <c r="A66" s="54" t="s">
        <v>1197</v>
      </c>
      <c r="B66" s="519" t="s">
        <v>1191</v>
      </c>
      <c r="C66" s="449"/>
      <c r="D66" s="449"/>
      <c r="E66" s="449"/>
      <c r="F66" s="449"/>
      <c r="G66" s="450"/>
      <c r="H66" s="449"/>
      <c r="I66" s="539" t="s">
        <v>1389</v>
      </c>
      <c r="J66" s="540" t="s">
        <v>68</v>
      </c>
      <c r="K66" s="540" t="s">
        <v>1390</v>
      </c>
      <c r="L66" s="519" t="s">
        <v>43</v>
      </c>
      <c r="M66" s="154" t="s">
        <v>36</v>
      </c>
      <c r="N66" s="89">
        <v>0</v>
      </c>
      <c r="O66" s="89">
        <v>0</v>
      </c>
      <c r="P66" s="89">
        <v>702.27099999999996</v>
      </c>
      <c r="Q66" s="89">
        <f>1748/2</f>
        <v>874</v>
      </c>
      <c r="R66" s="89">
        <v>0</v>
      </c>
    </row>
    <row r="67" spans="1:18" s="203" customFormat="1" ht="72.75" customHeight="1">
      <c r="A67" s="54" t="s">
        <v>1198</v>
      </c>
      <c r="B67" s="519" t="s">
        <v>1193</v>
      </c>
      <c r="C67" s="449"/>
      <c r="D67" s="449"/>
      <c r="E67" s="449"/>
      <c r="F67" s="449"/>
      <c r="G67" s="450"/>
      <c r="H67" s="449"/>
      <c r="I67" s="539"/>
      <c r="J67" s="540"/>
      <c r="K67" s="540"/>
      <c r="L67" s="519" t="s">
        <v>43</v>
      </c>
      <c r="M67" s="154" t="s">
        <v>36</v>
      </c>
      <c r="N67" s="89">
        <v>0</v>
      </c>
      <c r="O67" s="89">
        <v>0</v>
      </c>
      <c r="P67" s="89">
        <v>21.72</v>
      </c>
      <c r="Q67" s="89">
        <f>54.062/2</f>
        <v>27.030999999999999</v>
      </c>
      <c r="R67" s="89">
        <v>0</v>
      </c>
    </row>
    <row r="68" spans="1:18" s="203" customFormat="1" ht="64.5" customHeight="1">
      <c r="A68" s="54" t="s">
        <v>1401</v>
      </c>
      <c r="B68" s="519" t="s">
        <v>1400</v>
      </c>
      <c r="C68" s="449"/>
      <c r="D68" s="449"/>
      <c r="E68" s="449"/>
      <c r="F68" s="449"/>
      <c r="G68" s="450"/>
      <c r="H68" s="449"/>
      <c r="I68" s="464" t="s">
        <v>91</v>
      </c>
      <c r="J68" s="464" t="s">
        <v>68</v>
      </c>
      <c r="K68" s="464" t="s">
        <v>71</v>
      </c>
      <c r="L68" s="519" t="s">
        <v>43</v>
      </c>
      <c r="M68" s="154" t="s">
        <v>36</v>
      </c>
      <c r="N68" s="89">
        <v>0</v>
      </c>
      <c r="O68" s="89">
        <v>0</v>
      </c>
      <c r="P68" s="89">
        <v>587.5</v>
      </c>
      <c r="Q68" s="89">
        <v>0</v>
      </c>
      <c r="R68" s="89">
        <v>0</v>
      </c>
    </row>
    <row r="69" spans="1:18" s="203" customFormat="1" ht="74.25" customHeight="1">
      <c r="A69" s="54" t="s">
        <v>1459</v>
      </c>
      <c r="B69" s="519"/>
      <c r="C69" s="449" t="s">
        <v>355</v>
      </c>
      <c r="D69" s="449" t="s">
        <v>321</v>
      </c>
      <c r="E69" s="449" t="s">
        <v>60</v>
      </c>
      <c r="F69" s="449" t="s">
        <v>353</v>
      </c>
      <c r="G69" s="449" t="s">
        <v>322</v>
      </c>
      <c r="H69" s="449" t="s">
        <v>227</v>
      </c>
      <c r="I69" s="449" t="s">
        <v>851</v>
      </c>
      <c r="J69" s="449" t="s">
        <v>133</v>
      </c>
      <c r="K69" s="449" t="s">
        <v>134</v>
      </c>
      <c r="L69" s="238" t="s">
        <v>43</v>
      </c>
      <c r="M69" s="239" t="s">
        <v>36</v>
      </c>
      <c r="N69" s="90">
        <v>1040.4000000000001</v>
      </c>
      <c r="O69" s="90">
        <v>954.02</v>
      </c>
      <c r="P69" s="90">
        <v>1481.38</v>
      </c>
      <c r="Q69" s="90">
        <v>0</v>
      </c>
      <c r="R69" s="90">
        <v>0</v>
      </c>
    </row>
    <row r="70" spans="1:18" s="203" customFormat="1" ht="72">
      <c r="A70" s="54" t="s">
        <v>1460</v>
      </c>
      <c r="B70" s="519"/>
      <c r="C70" s="449" t="s">
        <v>355</v>
      </c>
      <c r="D70" s="449" t="s">
        <v>321</v>
      </c>
      <c r="E70" s="449" t="s">
        <v>60</v>
      </c>
      <c r="F70" s="449" t="s">
        <v>353</v>
      </c>
      <c r="G70" s="449" t="s">
        <v>322</v>
      </c>
      <c r="H70" s="449" t="s">
        <v>227</v>
      </c>
      <c r="I70" s="449" t="s">
        <v>925</v>
      </c>
      <c r="J70" s="449" t="s">
        <v>68</v>
      </c>
      <c r="K70" s="450" t="s">
        <v>441</v>
      </c>
      <c r="L70" s="73" t="s">
        <v>43</v>
      </c>
      <c r="M70" s="155" t="s">
        <v>36</v>
      </c>
      <c r="N70" s="125">
        <f>120.778+472.564</f>
        <v>593.34199999999998</v>
      </c>
      <c r="O70" s="125">
        <f>120.778+472.564</f>
        <v>593.34199999999998</v>
      </c>
      <c r="P70" s="125">
        <v>692</v>
      </c>
      <c r="Q70" s="125">
        <v>5.2</v>
      </c>
      <c r="R70" s="125">
        <v>246.2</v>
      </c>
    </row>
    <row r="71" spans="1:18" s="203" customFormat="1" ht="84">
      <c r="A71" s="54"/>
      <c r="B71" s="519"/>
      <c r="C71" s="449"/>
      <c r="D71" s="449"/>
      <c r="E71" s="449"/>
      <c r="F71" s="449"/>
      <c r="G71" s="449"/>
      <c r="H71" s="449"/>
      <c r="I71" s="449" t="s">
        <v>810</v>
      </c>
      <c r="J71" s="449" t="s">
        <v>68</v>
      </c>
      <c r="K71" s="450" t="s">
        <v>308</v>
      </c>
      <c r="L71" s="519"/>
      <c r="M71" s="154"/>
      <c r="N71" s="208"/>
      <c r="O71" s="208"/>
      <c r="P71" s="208"/>
      <c r="Q71" s="208"/>
      <c r="R71" s="208"/>
    </row>
    <row r="72" spans="1:18" s="203" customFormat="1" ht="48" customHeight="1">
      <c r="A72" s="54"/>
      <c r="B72" s="519"/>
      <c r="C72" s="449"/>
      <c r="D72" s="449"/>
      <c r="E72" s="449"/>
      <c r="F72" s="449"/>
      <c r="G72" s="449"/>
      <c r="H72" s="449"/>
      <c r="I72" s="449" t="s">
        <v>1276</v>
      </c>
      <c r="J72" s="449" t="s">
        <v>68</v>
      </c>
      <c r="K72" s="450" t="s">
        <v>595</v>
      </c>
      <c r="L72" s="519"/>
      <c r="M72" s="154"/>
      <c r="N72" s="208"/>
      <c r="O72" s="208"/>
      <c r="P72" s="208"/>
      <c r="Q72" s="208"/>
      <c r="R72" s="208"/>
    </row>
    <row r="73" spans="1:18" s="203" customFormat="1" ht="71.25" customHeight="1">
      <c r="A73" s="54"/>
      <c r="B73" s="519"/>
      <c r="C73" s="449"/>
      <c r="D73" s="449"/>
      <c r="E73" s="449"/>
      <c r="F73" s="449"/>
      <c r="G73" s="449"/>
      <c r="H73" s="449"/>
      <c r="I73" s="449" t="s">
        <v>1277</v>
      </c>
      <c r="J73" s="449" t="s">
        <v>68</v>
      </c>
      <c r="K73" s="450" t="s">
        <v>452</v>
      </c>
      <c r="L73" s="519"/>
      <c r="M73" s="154"/>
      <c r="N73" s="208"/>
      <c r="O73" s="208"/>
      <c r="P73" s="208"/>
      <c r="Q73" s="208"/>
      <c r="R73" s="208"/>
    </row>
    <row r="74" spans="1:18" s="203" customFormat="1" ht="83.25" customHeight="1">
      <c r="A74" s="54"/>
      <c r="B74" s="519"/>
      <c r="C74" s="464"/>
      <c r="D74" s="464"/>
      <c r="E74" s="464"/>
      <c r="F74" s="464"/>
      <c r="G74" s="464"/>
      <c r="H74" s="464"/>
      <c r="I74" s="449" t="s">
        <v>1278</v>
      </c>
      <c r="J74" s="449" t="s">
        <v>68</v>
      </c>
      <c r="K74" s="449" t="s">
        <v>506</v>
      </c>
      <c r="L74" s="519"/>
      <c r="M74" s="519"/>
      <c r="N74" s="208"/>
      <c r="O74" s="208"/>
      <c r="P74" s="208"/>
      <c r="Q74" s="208"/>
      <c r="R74" s="208"/>
    </row>
    <row r="75" spans="1:18" s="203" customFormat="1" ht="26.25" customHeight="1">
      <c r="A75" s="54" t="s">
        <v>1461</v>
      </c>
      <c r="B75" s="204"/>
      <c r="C75" s="460"/>
      <c r="D75" s="460"/>
      <c r="E75" s="460"/>
      <c r="F75" s="449"/>
      <c r="G75" s="460"/>
      <c r="H75" s="460"/>
      <c r="I75" s="460"/>
      <c r="J75" s="460"/>
      <c r="K75" s="460"/>
      <c r="L75" s="204"/>
      <c r="M75" s="204"/>
      <c r="N75" s="208"/>
      <c r="O75" s="208"/>
      <c r="P75" s="208"/>
      <c r="Q75" s="208"/>
      <c r="R75" s="208"/>
    </row>
    <row r="76" spans="1:18" s="203" customFormat="1" ht="60">
      <c r="A76" s="54"/>
      <c r="B76" s="519" t="s">
        <v>465</v>
      </c>
      <c r="C76" s="460"/>
      <c r="D76" s="460"/>
      <c r="E76" s="460"/>
      <c r="F76" s="449"/>
      <c r="G76" s="460"/>
      <c r="H76" s="460"/>
      <c r="I76" s="464" t="s">
        <v>872</v>
      </c>
      <c r="J76" s="464" t="s">
        <v>68</v>
      </c>
      <c r="K76" s="464" t="s">
        <v>873</v>
      </c>
      <c r="L76" s="519" t="s">
        <v>43</v>
      </c>
      <c r="M76" s="519" t="s">
        <v>36</v>
      </c>
      <c r="N76" s="89">
        <v>85.7</v>
      </c>
      <c r="O76" s="89">
        <v>85.7</v>
      </c>
      <c r="P76" s="89">
        <v>0</v>
      </c>
      <c r="Q76" s="89">
        <v>0</v>
      </c>
      <c r="R76" s="89">
        <v>0</v>
      </c>
    </row>
    <row r="77" spans="1:18" s="203" customFormat="1" ht="60">
      <c r="A77" s="211"/>
      <c r="B77" s="519" t="s">
        <v>474</v>
      </c>
      <c r="C77" s="464"/>
      <c r="D77" s="464"/>
      <c r="E77" s="464"/>
      <c r="F77" s="464"/>
      <c r="G77" s="464"/>
      <c r="H77" s="464"/>
      <c r="I77" s="449" t="s">
        <v>1446</v>
      </c>
      <c r="J77" s="295"/>
      <c r="K77" s="295"/>
      <c r="L77" s="519" t="s">
        <v>43</v>
      </c>
      <c r="M77" s="519" t="s">
        <v>36</v>
      </c>
      <c r="N77" s="89">
        <v>26.297000000000001</v>
      </c>
      <c r="O77" s="89">
        <v>26.297000000000001</v>
      </c>
      <c r="P77" s="89">
        <v>51.3</v>
      </c>
      <c r="Q77" s="89">
        <v>0</v>
      </c>
      <c r="R77" s="89">
        <v>0</v>
      </c>
    </row>
    <row r="78" spans="1:18" s="114" customFormat="1" ht="146.25" customHeight="1">
      <c r="A78" s="231" t="s">
        <v>611</v>
      </c>
      <c r="B78" s="176" t="s">
        <v>568</v>
      </c>
      <c r="C78" s="232"/>
      <c r="D78" s="232"/>
      <c r="E78" s="232"/>
      <c r="F78" s="232"/>
      <c r="G78" s="232"/>
      <c r="H78" s="233"/>
      <c r="I78" s="232"/>
      <c r="J78" s="232"/>
      <c r="K78" s="233"/>
      <c r="L78" s="234"/>
      <c r="M78" s="234"/>
      <c r="N78" s="241">
        <f>SUM(N79:N108)</f>
        <v>59955.462</v>
      </c>
      <c r="O78" s="241">
        <f t="shared" ref="O78:R78" si="13">SUM(O79:O108)</f>
        <v>59343.654000000002</v>
      </c>
      <c r="P78" s="241">
        <f t="shared" si="13"/>
        <v>55874.8125</v>
      </c>
      <c r="Q78" s="241">
        <f t="shared" si="13"/>
        <v>50650.463000000003</v>
      </c>
      <c r="R78" s="241">
        <f t="shared" si="13"/>
        <v>44411.239000000001</v>
      </c>
    </row>
    <row r="79" spans="1:18" s="203" customFormat="1" ht="156" customHeight="1">
      <c r="A79" s="609" t="s">
        <v>821</v>
      </c>
      <c r="B79" s="610"/>
      <c r="C79" s="440" t="s">
        <v>355</v>
      </c>
      <c r="D79" s="440" t="s">
        <v>347</v>
      </c>
      <c r="E79" s="440" t="s">
        <v>60</v>
      </c>
      <c r="F79" s="440" t="s">
        <v>353</v>
      </c>
      <c r="G79" s="440" t="s">
        <v>348</v>
      </c>
      <c r="H79" s="440" t="s">
        <v>227</v>
      </c>
      <c r="I79" s="449" t="s">
        <v>876</v>
      </c>
      <c r="J79" s="449" t="s">
        <v>68</v>
      </c>
      <c r="K79" s="449" t="s">
        <v>444</v>
      </c>
      <c r="L79" s="518" t="s">
        <v>43</v>
      </c>
      <c r="M79" s="480" t="s">
        <v>36</v>
      </c>
      <c r="N79" s="88">
        <f>43530.122+7289.561</f>
        <v>50819.683000000005</v>
      </c>
      <c r="O79" s="88">
        <f>43497.622+7289.561</f>
        <v>50787.183000000005</v>
      </c>
      <c r="P79" s="88">
        <f>37637.008+937.293</f>
        <v>38574.300999999999</v>
      </c>
      <c r="Q79" s="88">
        <f>38114.755+80</f>
        <v>38194.754999999997</v>
      </c>
      <c r="R79" s="88">
        <f>38114.755+80</f>
        <v>38194.754999999997</v>
      </c>
    </row>
    <row r="80" spans="1:18" s="203" customFormat="1" ht="60">
      <c r="A80" s="546"/>
      <c r="B80" s="565"/>
      <c r="C80" s="223"/>
      <c r="D80" s="223"/>
      <c r="E80" s="223"/>
      <c r="F80" s="206"/>
      <c r="G80" s="206"/>
      <c r="H80" s="206"/>
      <c r="I80" s="464" t="s">
        <v>323</v>
      </c>
      <c r="J80" s="464" t="s">
        <v>68</v>
      </c>
      <c r="K80" s="464" t="s">
        <v>332</v>
      </c>
      <c r="L80" s="519" t="s">
        <v>23</v>
      </c>
      <c r="M80" s="154" t="s">
        <v>37</v>
      </c>
      <c r="N80" s="89">
        <v>0.82699999999999996</v>
      </c>
      <c r="O80" s="89">
        <v>0.82699999999999996</v>
      </c>
      <c r="P80" s="89">
        <v>0</v>
      </c>
      <c r="Q80" s="89">
        <v>0</v>
      </c>
      <c r="R80" s="89">
        <v>0</v>
      </c>
    </row>
    <row r="81" spans="1:18" s="203" customFormat="1" ht="60">
      <c r="A81" s="546"/>
      <c r="B81" s="565"/>
      <c r="C81" s="449" t="s">
        <v>354</v>
      </c>
      <c r="D81" s="449" t="s">
        <v>811</v>
      </c>
      <c r="E81" s="449" t="s">
        <v>525</v>
      </c>
      <c r="F81" s="206"/>
      <c r="G81" s="206"/>
      <c r="H81" s="206"/>
      <c r="I81" s="464" t="s">
        <v>515</v>
      </c>
      <c r="J81" s="464" t="s">
        <v>68</v>
      </c>
      <c r="K81" s="464" t="s">
        <v>516</v>
      </c>
      <c r="L81" s="460"/>
      <c r="M81" s="202"/>
      <c r="N81" s="208"/>
      <c r="O81" s="208"/>
      <c r="P81" s="208"/>
      <c r="Q81" s="208"/>
      <c r="R81" s="208"/>
    </row>
    <row r="82" spans="1:18" s="203" customFormat="1" ht="48">
      <c r="A82" s="224"/>
      <c r="B82" s="460"/>
      <c r="C82" s="449"/>
      <c r="D82" s="449"/>
      <c r="E82" s="449"/>
      <c r="F82" s="449"/>
      <c r="G82" s="449"/>
      <c r="H82" s="449"/>
      <c r="I82" s="449" t="s">
        <v>91</v>
      </c>
      <c r="J82" s="449" t="s">
        <v>68</v>
      </c>
      <c r="K82" s="450" t="s">
        <v>71</v>
      </c>
      <c r="L82" s="460"/>
      <c r="M82" s="460"/>
      <c r="N82" s="208"/>
      <c r="O82" s="208"/>
      <c r="P82" s="208"/>
      <c r="Q82" s="208"/>
      <c r="R82" s="208"/>
    </row>
    <row r="83" spans="1:18" s="114" customFormat="1" ht="47.25" customHeight="1">
      <c r="A83" s="546" t="s">
        <v>822</v>
      </c>
      <c r="B83" s="519"/>
      <c r="C83" s="449" t="s">
        <v>354</v>
      </c>
      <c r="D83" s="449" t="s">
        <v>849</v>
      </c>
      <c r="E83" s="449" t="s">
        <v>525</v>
      </c>
      <c r="F83" s="539" t="s">
        <v>325</v>
      </c>
      <c r="G83" s="539" t="s">
        <v>326</v>
      </c>
      <c r="H83" s="539" t="s">
        <v>308</v>
      </c>
      <c r="I83" s="539" t="s">
        <v>1440</v>
      </c>
      <c r="J83" s="539" t="s">
        <v>68</v>
      </c>
      <c r="K83" s="603" t="s">
        <v>1036</v>
      </c>
      <c r="L83" s="100" t="s">
        <v>43</v>
      </c>
      <c r="M83" s="100" t="s">
        <v>36</v>
      </c>
      <c r="N83" s="110">
        <v>637.31799999999998</v>
      </c>
      <c r="O83" s="110">
        <v>637.31799999999998</v>
      </c>
      <c r="P83" s="110">
        <v>1290.3499999999999</v>
      </c>
      <c r="Q83" s="110">
        <v>1305.5</v>
      </c>
      <c r="R83" s="110">
        <v>1305.5</v>
      </c>
    </row>
    <row r="84" spans="1:18" s="114" customFormat="1" ht="38.25" customHeight="1">
      <c r="A84" s="546"/>
      <c r="B84" s="519" t="s">
        <v>327</v>
      </c>
      <c r="C84" s="449"/>
      <c r="D84" s="449"/>
      <c r="E84" s="449"/>
      <c r="F84" s="539"/>
      <c r="G84" s="539"/>
      <c r="H84" s="539"/>
      <c r="I84" s="539"/>
      <c r="J84" s="539"/>
      <c r="K84" s="603"/>
      <c r="L84" s="100" t="s">
        <v>43</v>
      </c>
      <c r="M84" s="100" t="s">
        <v>36</v>
      </c>
      <c r="N84" s="89">
        <v>3144.1570000000002</v>
      </c>
      <c r="O84" s="89">
        <v>2922.9490000000001</v>
      </c>
      <c r="P84" s="89">
        <v>2618.5</v>
      </c>
      <c r="Q84" s="89">
        <v>3906.65</v>
      </c>
      <c r="R84" s="89">
        <v>3906.65</v>
      </c>
    </row>
    <row r="85" spans="1:18" s="203" customFormat="1" ht="144">
      <c r="A85" s="54" t="s">
        <v>823</v>
      </c>
      <c r="B85" s="519" t="s">
        <v>340</v>
      </c>
      <c r="C85" s="449" t="s">
        <v>354</v>
      </c>
      <c r="D85" s="449" t="s">
        <v>339</v>
      </c>
      <c r="E85" s="449" t="s">
        <v>341</v>
      </c>
      <c r="F85" s="449" t="s">
        <v>809</v>
      </c>
      <c r="G85" s="450" t="s">
        <v>68</v>
      </c>
      <c r="H85" s="449" t="s">
        <v>1272</v>
      </c>
      <c r="I85" s="449" t="s">
        <v>449</v>
      </c>
      <c r="J85" s="449" t="s">
        <v>68</v>
      </c>
      <c r="K85" s="450" t="s">
        <v>118</v>
      </c>
      <c r="L85" s="76" t="s">
        <v>43</v>
      </c>
      <c r="M85" s="156" t="s">
        <v>36</v>
      </c>
      <c r="N85" s="125">
        <v>851</v>
      </c>
      <c r="O85" s="125">
        <v>676</v>
      </c>
      <c r="P85" s="125">
        <v>1004.3339999999999</v>
      </c>
      <c r="Q85" s="125">
        <v>1004.3339999999999</v>
      </c>
      <c r="R85" s="125">
        <v>1004.3339999999999</v>
      </c>
    </row>
    <row r="86" spans="1:18" s="203" customFormat="1" ht="111" customHeight="1">
      <c r="A86" s="54" t="s">
        <v>912</v>
      </c>
      <c r="B86" s="519" t="s">
        <v>338</v>
      </c>
      <c r="C86" s="449" t="s">
        <v>354</v>
      </c>
      <c r="D86" s="449" t="s">
        <v>339</v>
      </c>
      <c r="E86" s="449" t="s">
        <v>341</v>
      </c>
      <c r="F86" s="449" t="s">
        <v>807</v>
      </c>
      <c r="G86" s="450" t="s">
        <v>808</v>
      </c>
      <c r="H86" s="449" t="s">
        <v>308</v>
      </c>
      <c r="I86" s="449" t="s">
        <v>850</v>
      </c>
      <c r="J86" s="449" t="s">
        <v>68</v>
      </c>
      <c r="K86" s="450" t="s">
        <v>440</v>
      </c>
      <c r="L86" s="76" t="s">
        <v>43</v>
      </c>
      <c r="M86" s="156" t="s">
        <v>36</v>
      </c>
      <c r="N86" s="125">
        <v>283.10000000000002</v>
      </c>
      <c r="O86" s="125">
        <v>120</v>
      </c>
      <c r="P86" s="125">
        <v>0</v>
      </c>
      <c r="Q86" s="125">
        <v>0</v>
      </c>
      <c r="R86" s="125">
        <v>0</v>
      </c>
    </row>
    <row r="87" spans="1:18" s="203" customFormat="1" ht="37.5" customHeight="1">
      <c r="A87" s="546" t="s">
        <v>913</v>
      </c>
      <c r="B87" s="519" t="s">
        <v>891</v>
      </c>
      <c r="C87" s="449"/>
      <c r="D87" s="449"/>
      <c r="E87" s="449"/>
      <c r="F87" s="449"/>
      <c r="G87" s="450"/>
      <c r="H87" s="449"/>
      <c r="I87" s="539" t="s">
        <v>935</v>
      </c>
      <c r="J87" s="539" t="s">
        <v>68</v>
      </c>
      <c r="K87" s="603" t="s">
        <v>934</v>
      </c>
      <c r="L87" s="100" t="s">
        <v>43</v>
      </c>
      <c r="M87" s="100" t="s">
        <v>36</v>
      </c>
      <c r="N87" s="110">
        <v>1646.663</v>
      </c>
      <c r="O87" s="110">
        <v>1646.663</v>
      </c>
      <c r="P87" s="110">
        <f>3250.626/2</f>
        <v>1625.3130000000001</v>
      </c>
      <c r="Q87" s="110">
        <v>0</v>
      </c>
      <c r="R87" s="110">
        <v>0</v>
      </c>
    </row>
    <row r="88" spans="1:18" s="203" customFormat="1" ht="37.5" customHeight="1">
      <c r="A88" s="546"/>
      <c r="B88" s="519" t="s">
        <v>887</v>
      </c>
      <c r="C88" s="449"/>
      <c r="D88" s="449"/>
      <c r="E88" s="449"/>
      <c r="F88" s="449"/>
      <c r="G88" s="450"/>
      <c r="H88" s="449"/>
      <c r="I88" s="539"/>
      <c r="J88" s="539"/>
      <c r="K88" s="603"/>
      <c r="L88" s="100" t="s">
        <v>43</v>
      </c>
      <c r="M88" s="100" t="s">
        <v>36</v>
      </c>
      <c r="N88" s="110">
        <v>50.9285</v>
      </c>
      <c r="O88" s="110">
        <v>50.9285</v>
      </c>
      <c r="P88" s="110">
        <f>100.535/2</f>
        <v>50.267499999999998</v>
      </c>
      <c r="Q88" s="110">
        <v>0</v>
      </c>
      <c r="R88" s="110">
        <v>0</v>
      </c>
    </row>
    <row r="89" spans="1:18" s="203" customFormat="1" ht="45" customHeight="1">
      <c r="A89" s="546" t="s">
        <v>914</v>
      </c>
      <c r="B89" s="519" t="s">
        <v>889</v>
      </c>
      <c r="C89" s="449"/>
      <c r="D89" s="449"/>
      <c r="E89" s="449"/>
      <c r="F89" s="449"/>
      <c r="G89" s="450"/>
      <c r="H89" s="449"/>
      <c r="I89" s="540" t="s">
        <v>91</v>
      </c>
      <c r="J89" s="540" t="s">
        <v>68</v>
      </c>
      <c r="K89" s="540" t="s">
        <v>71</v>
      </c>
      <c r="L89" s="100" t="s">
        <v>43</v>
      </c>
      <c r="M89" s="100" t="s">
        <v>36</v>
      </c>
      <c r="N89" s="110">
        <v>989.21249999999998</v>
      </c>
      <c r="O89" s="110">
        <v>989.21249999999998</v>
      </c>
      <c r="P89" s="110">
        <f>8799.021/2</f>
        <v>4399.5105000000003</v>
      </c>
      <c r="Q89" s="110">
        <f>10356.094/2</f>
        <v>5178.0469999999996</v>
      </c>
      <c r="R89" s="110">
        <v>0</v>
      </c>
    </row>
    <row r="90" spans="1:18" s="203" customFormat="1" ht="39" customHeight="1">
      <c r="A90" s="546"/>
      <c r="B90" s="519" t="s">
        <v>890</v>
      </c>
      <c r="C90" s="449"/>
      <c r="D90" s="449"/>
      <c r="E90" s="449"/>
      <c r="F90" s="449"/>
      <c r="G90" s="450"/>
      <c r="H90" s="449"/>
      <c r="I90" s="540"/>
      <c r="J90" s="540"/>
      <c r="K90" s="540"/>
      <c r="L90" s="100" t="s">
        <v>43</v>
      </c>
      <c r="M90" s="100" t="s">
        <v>36</v>
      </c>
      <c r="N90" s="110">
        <v>30.594000000000001</v>
      </c>
      <c r="O90" s="110">
        <v>30.594000000000001</v>
      </c>
      <c r="P90" s="110">
        <f>272.135/2</f>
        <v>136.0675</v>
      </c>
      <c r="Q90" s="110">
        <f>320.292/2</f>
        <v>160.14599999999999</v>
      </c>
      <c r="R90" s="110">
        <v>0</v>
      </c>
    </row>
    <row r="91" spans="1:18" s="203" customFormat="1" ht="74.25" customHeight="1">
      <c r="A91" s="54" t="s">
        <v>915</v>
      </c>
      <c r="B91" s="519"/>
      <c r="C91" s="449" t="s">
        <v>355</v>
      </c>
      <c r="D91" s="449" t="s">
        <v>321</v>
      </c>
      <c r="E91" s="449" t="s">
        <v>60</v>
      </c>
      <c r="F91" s="449" t="s">
        <v>353</v>
      </c>
      <c r="G91" s="449" t="s">
        <v>322</v>
      </c>
      <c r="H91" s="449" t="s">
        <v>227</v>
      </c>
      <c r="I91" s="449" t="s">
        <v>724</v>
      </c>
      <c r="J91" s="449" t="s">
        <v>133</v>
      </c>
      <c r="K91" s="449" t="s">
        <v>134</v>
      </c>
      <c r="L91" s="518" t="s">
        <v>43</v>
      </c>
      <c r="M91" s="518" t="s">
        <v>36</v>
      </c>
      <c r="N91" s="88">
        <v>45</v>
      </c>
      <c r="O91" s="88">
        <v>45</v>
      </c>
      <c r="P91" s="88">
        <v>1190</v>
      </c>
      <c r="Q91" s="88">
        <v>0</v>
      </c>
      <c r="R91" s="88">
        <v>0</v>
      </c>
    </row>
    <row r="92" spans="1:18" s="203" customFormat="1" ht="72">
      <c r="A92" s="54" t="s">
        <v>916</v>
      </c>
      <c r="B92" s="519"/>
      <c r="C92" s="449" t="s">
        <v>355</v>
      </c>
      <c r="D92" s="449" t="s">
        <v>321</v>
      </c>
      <c r="E92" s="449" t="s">
        <v>60</v>
      </c>
      <c r="F92" s="449" t="s">
        <v>353</v>
      </c>
      <c r="G92" s="449" t="s">
        <v>322</v>
      </c>
      <c r="H92" s="449" t="s">
        <v>227</v>
      </c>
      <c r="I92" s="449" t="s">
        <v>925</v>
      </c>
      <c r="J92" s="449" t="s">
        <v>68</v>
      </c>
      <c r="K92" s="450" t="s">
        <v>441</v>
      </c>
      <c r="L92" s="73" t="s">
        <v>43</v>
      </c>
      <c r="M92" s="155" t="s">
        <v>36</v>
      </c>
      <c r="N92" s="125">
        <v>0</v>
      </c>
      <c r="O92" s="125">
        <v>0</v>
      </c>
      <c r="P92" s="125">
        <v>24</v>
      </c>
      <c r="Q92" s="125">
        <v>0</v>
      </c>
      <c r="R92" s="125">
        <v>0</v>
      </c>
    </row>
    <row r="93" spans="1:18" s="203" customFormat="1" ht="48.75" customHeight="1">
      <c r="A93" s="54"/>
      <c r="B93" s="519"/>
      <c r="C93" s="449"/>
      <c r="D93" s="449"/>
      <c r="E93" s="449"/>
      <c r="F93" s="449"/>
      <c r="G93" s="449"/>
      <c r="H93" s="449"/>
      <c r="I93" s="449" t="s">
        <v>1276</v>
      </c>
      <c r="J93" s="449" t="s">
        <v>68</v>
      </c>
      <c r="K93" s="450" t="s">
        <v>595</v>
      </c>
      <c r="L93" s="204"/>
      <c r="M93" s="207"/>
      <c r="N93" s="208"/>
      <c r="O93" s="208"/>
      <c r="P93" s="208"/>
      <c r="Q93" s="208"/>
      <c r="R93" s="208"/>
    </row>
    <row r="94" spans="1:18" s="203" customFormat="1" ht="72" customHeight="1">
      <c r="A94" s="54"/>
      <c r="B94" s="519"/>
      <c r="C94" s="449"/>
      <c r="D94" s="449"/>
      <c r="E94" s="449"/>
      <c r="F94" s="449"/>
      <c r="G94" s="449"/>
      <c r="H94" s="449"/>
      <c r="I94" s="449" t="s">
        <v>1279</v>
      </c>
      <c r="J94" s="449" t="s">
        <v>68</v>
      </c>
      <c r="K94" s="450" t="s">
        <v>452</v>
      </c>
      <c r="L94" s="204"/>
      <c r="M94" s="207"/>
      <c r="N94" s="208"/>
      <c r="O94" s="208"/>
      <c r="P94" s="208"/>
      <c r="Q94" s="208"/>
      <c r="R94" s="208"/>
    </row>
    <row r="95" spans="1:18" s="203" customFormat="1" ht="84" customHeight="1">
      <c r="A95" s="54"/>
      <c r="B95" s="519"/>
      <c r="C95" s="464"/>
      <c r="D95" s="464"/>
      <c r="E95" s="464"/>
      <c r="F95" s="464"/>
      <c r="G95" s="464"/>
      <c r="H95" s="464"/>
      <c r="I95" s="449" t="s">
        <v>1280</v>
      </c>
      <c r="J95" s="449" t="s">
        <v>68</v>
      </c>
      <c r="K95" s="449" t="s">
        <v>506</v>
      </c>
      <c r="L95" s="213"/>
      <c r="M95" s="209"/>
      <c r="N95" s="208"/>
      <c r="O95" s="208"/>
      <c r="P95" s="208"/>
      <c r="Q95" s="208"/>
      <c r="R95" s="208"/>
    </row>
    <row r="96" spans="1:18" s="203" customFormat="1" ht="84.75" customHeight="1">
      <c r="A96" s="54" t="s">
        <v>917</v>
      </c>
      <c r="B96" s="519" t="s">
        <v>858</v>
      </c>
      <c r="C96" s="464"/>
      <c r="D96" s="464"/>
      <c r="E96" s="464"/>
      <c r="F96" s="464"/>
      <c r="G96" s="464"/>
      <c r="H96" s="464"/>
      <c r="I96" s="449" t="s">
        <v>1092</v>
      </c>
      <c r="J96" s="449" t="s">
        <v>68</v>
      </c>
      <c r="K96" s="449" t="s">
        <v>1093</v>
      </c>
      <c r="L96" s="100" t="s">
        <v>43</v>
      </c>
      <c r="M96" s="100" t="s">
        <v>36</v>
      </c>
      <c r="N96" s="110">
        <v>945</v>
      </c>
      <c r="O96" s="110">
        <v>945</v>
      </c>
      <c r="P96" s="110">
        <v>0</v>
      </c>
      <c r="Q96" s="110">
        <v>0</v>
      </c>
      <c r="R96" s="110">
        <v>0</v>
      </c>
    </row>
    <row r="97" spans="1:18" s="203" customFormat="1" ht="15" customHeight="1">
      <c r="A97" s="54"/>
      <c r="B97" s="519"/>
      <c r="C97" s="464"/>
      <c r="D97" s="464"/>
      <c r="E97" s="464"/>
      <c r="F97" s="464"/>
      <c r="G97" s="464"/>
      <c r="H97" s="464"/>
      <c r="I97" s="449"/>
      <c r="J97" s="449"/>
      <c r="K97" s="449"/>
      <c r="L97" s="100"/>
      <c r="M97" s="100"/>
      <c r="N97" s="110">
        <f>238+1</f>
        <v>239</v>
      </c>
      <c r="O97" s="110">
        <f>218+1</f>
        <v>219</v>
      </c>
      <c r="P97" s="110">
        <v>0</v>
      </c>
      <c r="Q97" s="110">
        <v>0</v>
      </c>
      <c r="R97" s="110">
        <v>0</v>
      </c>
    </row>
    <row r="98" spans="1:18" s="203" customFormat="1" ht="62.25" customHeight="1">
      <c r="A98" s="445" t="s">
        <v>977</v>
      </c>
      <c r="B98" s="519" t="s">
        <v>976</v>
      </c>
      <c r="C98" s="449"/>
      <c r="D98" s="449"/>
      <c r="E98" s="449"/>
      <c r="F98" s="449"/>
      <c r="G98" s="450"/>
      <c r="H98" s="449"/>
      <c r="I98" s="449" t="s">
        <v>1102</v>
      </c>
      <c r="J98" s="449" t="s">
        <v>68</v>
      </c>
      <c r="K98" s="450" t="s">
        <v>1034</v>
      </c>
      <c r="L98" s="100" t="s">
        <v>43</v>
      </c>
      <c r="M98" s="100" t="s">
        <v>36</v>
      </c>
      <c r="N98" s="110">
        <v>0</v>
      </c>
      <c r="O98" s="110">
        <v>0</v>
      </c>
      <c r="P98" s="110">
        <v>0</v>
      </c>
      <c r="Q98" s="110">
        <v>0</v>
      </c>
      <c r="R98" s="110">
        <v>0</v>
      </c>
    </row>
    <row r="99" spans="1:18" s="203" customFormat="1" ht="60">
      <c r="A99" s="445" t="s">
        <v>1196</v>
      </c>
      <c r="B99" s="519" t="s">
        <v>1195</v>
      </c>
      <c r="C99" s="449"/>
      <c r="D99" s="449"/>
      <c r="E99" s="449"/>
      <c r="F99" s="449"/>
      <c r="G99" s="450"/>
      <c r="H99" s="449"/>
      <c r="I99" s="464" t="s">
        <v>91</v>
      </c>
      <c r="J99" s="464" t="s">
        <v>68</v>
      </c>
      <c r="K99" s="464" t="s">
        <v>71</v>
      </c>
      <c r="L99" s="100" t="s">
        <v>43</v>
      </c>
      <c r="M99" s="158" t="s">
        <v>36</v>
      </c>
      <c r="N99" s="110">
        <v>0</v>
      </c>
      <c r="O99" s="110">
        <v>0</v>
      </c>
      <c r="P99" s="110">
        <v>1337.8</v>
      </c>
      <c r="Q99" s="110">
        <v>0</v>
      </c>
      <c r="R99" s="110">
        <v>0</v>
      </c>
    </row>
    <row r="100" spans="1:18" s="203" customFormat="1" ht="96">
      <c r="A100" s="445" t="s">
        <v>1405</v>
      </c>
      <c r="B100" s="519"/>
      <c r="C100" s="449"/>
      <c r="D100" s="449"/>
      <c r="E100" s="449"/>
      <c r="F100" s="449"/>
      <c r="G100" s="450"/>
      <c r="H100" s="449"/>
      <c r="I100" s="449"/>
      <c r="J100" s="449"/>
      <c r="K100" s="450"/>
      <c r="L100" s="519" t="s">
        <v>43</v>
      </c>
      <c r="M100" s="154" t="s">
        <v>36</v>
      </c>
      <c r="N100" s="89">
        <v>0</v>
      </c>
      <c r="O100" s="89">
        <v>0</v>
      </c>
      <c r="P100" s="89">
        <v>2243.3000000000002</v>
      </c>
      <c r="Q100" s="89">
        <v>0</v>
      </c>
      <c r="R100" s="89">
        <v>0</v>
      </c>
    </row>
    <row r="101" spans="1:18" s="203" customFormat="1" ht="61.5" customHeight="1">
      <c r="A101" s="54" t="s">
        <v>1199</v>
      </c>
      <c r="B101" s="519" t="s">
        <v>1191</v>
      </c>
      <c r="C101" s="449"/>
      <c r="D101" s="449"/>
      <c r="E101" s="449"/>
      <c r="F101" s="449"/>
      <c r="G101" s="450"/>
      <c r="H101" s="449"/>
      <c r="I101" s="539" t="s">
        <v>1387</v>
      </c>
      <c r="J101" s="540" t="s">
        <v>68</v>
      </c>
      <c r="K101" s="464" t="s">
        <v>1388</v>
      </c>
      <c r="L101" s="519" t="s">
        <v>43</v>
      </c>
      <c r="M101" s="154" t="s">
        <v>36</v>
      </c>
      <c r="N101" s="89">
        <v>0</v>
      </c>
      <c r="O101" s="89">
        <v>0</v>
      </c>
      <c r="P101" s="89">
        <v>480.67399999999998</v>
      </c>
      <c r="Q101" s="89">
        <v>874</v>
      </c>
      <c r="R101" s="89">
        <v>0</v>
      </c>
    </row>
    <row r="102" spans="1:18" s="203" customFormat="1" ht="72.75" customHeight="1">
      <c r="A102" s="54" t="s">
        <v>1200</v>
      </c>
      <c r="B102" s="519" t="s">
        <v>1193</v>
      </c>
      <c r="C102" s="449"/>
      <c r="D102" s="449"/>
      <c r="E102" s="449"/>
      <c r="F102" s="449"/>
      <c r="G102" s="450"/>
      <c r="H102" s="449"/>
      <c r="I102" s="539"/>
      <c r="J102" s="540"/>
      <c r="K102" s="464"/>
      <c r="L102" s="519" t="s">
        <v>43</v>
      </c>
      <c r="M102" s="154" t="s">
        <v>36</v>
      </c>
      <c r="N102" s="89">
        <v>0</v>
      </c>
      <c r="O102" s="89">
        <v>0</v>
      </c>
      <c r="P102" s="89">
        <v>14.865</v>
      </c>
      <c r="Q102" s="89">
        <f>54.062/2</f>
        <v>27.030999999999999</v>
      </c>
      <c r="R102" s="89">
        <v>0</v>
      </c>
    </row>
    <row r="103" spans="1:18" s="203" customFormat="1" ht="72.75" customHeight="1">
      <c r="A103" s="54" t="s">
        <v>1404</v>
      </c>
      <c r="B103" s="519" t="s">
        <v>1400</v>
      </c>
      <c r="C103" s="449"/>
      <c r="D103" s="449"/>
      <c r="E103" s="449"/>
      <c r="F103" s="449"/>
      <c r="G103" s="450"/>
      <c r="H103" s="449"/>
      <c r="I103" s="464" t="s">
        <v>91</v>
      </c>
      <c r="J103" s="464" t="s">
        <v>68</v>
      </c>
      <c r="K103" s="464" t="s">
        <v>71</v>
      </c>
      <c r="L103" s="519" t="s">
        <v>43</v>
      </c>
      <c r="M103" s="154" t="s">
        <v>36</v>
      </c>
      <c r="N103" s="89">
        <v>0</v>
      </c>
      <c r="O103" s="89">
        <v>0</v>
      </c>
      <c r="P103" s="89">
        <v>587.5</v>
      </c>
      <c r="Q103" s="89">
        <v>0</v>
      </c>
      <c r="R103" s="89">
        <v>0</v>
      </c>
    </row>
    <row r="104" spans="1:18" s="203" customFormat="1" ht="26.25" customHeight="1">
      <c r="A104" s="54" t="s">
        <v>1403</v>
      </c>
      <c r="B104" s="204"/>
      <c r="C104" s="460"/>
      <c r="D104" s="460"/>
      <c r="E104" s="460"/>
      <c r="F104" s="449"/>
      <c r="G104" s="460"/>
      <c r="H104" s="460"/>
      <c r="I104" s="460"/>
      <c r="J104" s="460"/>
      <c r="K104" s="460"/>
      <c r="L104" s="360"/>
      <c r="M104" s="360"/>
      <c r="N104" s="361"/>
      <c r="O104" s="361"/>
      <c r="P104" s="361"/>
      <c r="Q104" s="361"/>
      <c r="R104" s="361"/>
    </row>
    <row r="105" spans="1:18" s="203" customFormat="1" ht="60.75" customHeight="1">
      <c r="A105" s="54"/>
      <c r="B105" s="519" t="s">
        <v>480</v>
      </c>
      <c r="C105" s="460"/>
      <c r="D105" s="460"/>
      <c r="E105" s="460"/>
      <c r="F105" s="449"/>
      <c r="G105" s="460"/>
      <c r="H105" s="460"/>
      <c r="I105" s="464" t="s">
        <v>1444</v>
      </c>
      <c r="J105" s="464" t="s">
        <v>68</v>
      </c>
      <c r="K105" s="464" t="s">
        <v>1445</v>
      </c>
      <c r="L105" s="100" t="s">
        <v>43</v>
      </c>
      <c r="M105" s="100" t="s">
        <v>36</v>
      </c>
      <c r="N105" s="110">
        <v>0</v>
      </c>
      <c r="O105" s="110">
        <v>0</v>
      </c>
      <c r="P105" s="110">
        <v>298.02999999999997</v>
      </c>
      <c r="Q105" s="110">
        <v>0</v>
      </c>
      <c r="R105" s="110">
        <v>0</v>
      </c>
    </row>
    <row r="106" spans="1:18" s="114" customFormat="1" ht="60">
      <c r="A106" s="54"/>
      <c r="B106" s="519" t="s">
        <v>481</v>
      </c>
      <c r="C106" s="464"/>
      <c r="D106" s="464"/>
      <c r="E106" s="464"/>
      <c r="F106" s="449"/>
      <c r="G106" s="464"/>
      <c r="H106" s="464"/>
      <c r="I106" s="464" t="s">
        <v>940</v>
      </c>
      <c r="J106" s="464" t="s">
        <v>68</v>
      </c>
      <c r="K106" s="464" t="s">
        <v>933</v>
      </c>
      <c r="L106" s="100" t="s">
        <v>43</v>
      </c>
      <c r="M106" s="100" t="s">
        <v>36</v>
      </c>
      <c r="N106" s="110">
        <v>93.1</v>
      </c>
      <c r="O106" s="110">
        <v>93.1</v>
      </c>
      <c r="P106" s="110">
        <v>0</v>
      </c>
      <c r="Q106" s="110">
        <v>0</v>
      </c>
      <c r="R106" s="110">
        <v>0</v>
      </c>
    </row>
    <row r="107" spans="1:18" s="114" customFormat="1" ht="60">
      <c r="A107" s="54"/>
      <c r="B107" s="519" t="s">
        <v>488</v>
      </c>
      <c r="C107" s="464"/>
      <c r="D107" s="464"/>
      <c r="E107" s="464"/>
      <c r="F107" s="449"/>
      <c r="G107" s="464"/>
      <c r="H107" s="464"/>
      <c r="I107" s="464" t="s">
        <v>954</v>
      </c>
      <c r="J107" s="464" t="s">
        <v>68</v>
      </c>
      <c r="K107" s="464" t="s">
        <v>953</v>
      </c>
      <c r="L107" s="100" t="s">
        <v>43</v>
      </c>
      <c r="M107" s="100" t="s">
        <v>36</v>
      </c>
      <c r="N107" s="110">
        <v>79.88</v>
      </c>
      <c r="O107" s="110">
        <v>79.88</v>
      </c>
      <c r="P107" s="110">
        <v>0</v>
      </c>
      <c r="Q107" s="110">
        <v>0</v>
      </c>
      <c r="R107" s="110">
        <v>0</v>
      </c>
    </row>
    <row r="108" spans="1:18" s="114" customFormat="1" ht="60">
      <c r="A108" s="54"/>
      <c r="B108" s="519" t="s">
        <v>520</v>
      </c>
      <c r="C108" s="464"/>
      <c r="D108" s="464"/>
      <c r="E108" s="464"/>
      <c r="F108" s="449"/>
      <c r="G108" s="464"/>
      <c r="H108" s="464"/>
      <c r="I108" s="464" t="s">
        <v>1076</v>
      </c>
      <c r="J108" s="464" t="s">
        <v>68</v>
      </c>
      <c r="K108" s="464" t="s">
        <v>1077</v>
      </c>
      <c r="L108" s="100" t="s">
        <v>43</v>
      </c>
      <c r="M108" s="100" t="s">
        <v>36</v>
      </c>
      <c r="N108" s="110">
        <v>99.998999999999995</v>
      </c>
      <c r="O108" s="110">
        <v>99.998999999999995</v>
      </c>
      <c r="P108" s="110">
        <v>0</v>
      </c>
      <c r="Q108" s="110">
        <v>0</v>
      </c>
      <c r="R108" s="110">
        <v>0</v>
      </c>
    </row>
    <row r="109" spans="1:18" s="114" customFormat="1" ht="98.25" customHeight="1">
      <c r="A109" s="231" t="s">
        <v>613</v>
      </c>
      <c r="B109" s="176" t="s">
        <v>612</v>
      </c>
      <c r="C109" s="232"/>
      <c r="D109" s="232"/>
      <c r="E109" s="232"/>
      <c r="F109" s="232"/>
      <c r="G109" s="232"/>
      <c r="H109" s="233"/>
      <c r="I109" s="232"/>
      <c r="J109" s="232"/>
      <c r="K109" s="233"/>
      <c r="L109" s="72"/>
      <c r="M109" s="72"/>
      <c r="N109" s="282">
        <f>SUM(N110:N125)</f>
        <v>82646.547000000006</v>
      </c>
      <c r="O109" s="282">
        <f t="shared" ref="O109:R109" si="14">SUM(O110:O125)</f>
        <v>80625.974999999991</v>
      </c>
      <c r="P109" s="282">
        <f t="shared" si="14"/>
        <v>88915.351999999999</v>
      </c>
      <c r="Q109" s="282">
        <f t="shared" si="14"/>
        <v>47308.474000000002</v>
      </c>
      <c r="R109" s="282">
        <f t="shared" si="14"/>
        <v>50240.800000000003</v>
      </c>
    </row>
    <row r="110" spans="1:18" s="203" customFormat="1" ht="60" customHeight="1">
      <c r="A110" s="546" t="s">
        <v>824</v>
      </c>
      <c r="B110" s="565"/>
      <c r="C110" s="449" t="s">
        <v>355</v>
      </c>
      <c r="D110" s="449" t="s">
        <v>350</v>
      </c>
      <c r="E110" s="449" t="s">
        <v>143</v>
      </c>
      <c r="F110" s="539" t="s">
        <v>353</v>
      </c>
      <c r="G110" s="539" t="s">
        <v>328</v>
      </c>
      <c r="H110" s="539" t="s">
        <v>227</v>
      </c>
      <c r="I110" s="449" t="s">
        <v>352</v>
      </c>
      <c r="J110" s="449" t="s">
        <v>68</v>
      </c>
      <c r="K110" s="450" t="s">
        <v>60</v>
      </c>
      <c r="L110" s="73" t="s">
        <v>43</v>
      </c>
      <c r="M110" s="73" t="s">
        <v>41</v>
      </c>
      <c r="N110" s="125">
        <f>35516.846+2549.509</f>
        <v>38066.354999999996</v>
      </c>
      <c r="O110" s="125">
        <f>35516.846+2543.664</f>
        <v>38060.509999999995</v>
      </c>
      <c r="P110" s="125">
        <v>64595.22</v>
      </c>
      <c r="Q110" s="125">
        <v>44291.8</v>
      </c>
      <c r="R110" s="125">
        <v>44291.8</v>
      </c>
    </row>
    <row r="111" spans="1:18" s="203" customFormat="1" ht="48">
      <c r="A111" s="546"/>
      <c r="B111" s="565"/>
      <c r="C111" s="449" t="s">
        <v>354</v>
      </c>
      <c r="D111" s="449" t="s">
        <v>351</v>
      </c>
      <c r="E111" s="449" t="s">
        <v>227</v>
      </c>
      <c r="F111" s="539"/>
      <c r="G111" s="539"/>
      <c r="H111" s="539"/>
      <c r="I111" s="449" t="s">
        <v>91</v>
      </c>
      <c r="J111" s="449" t="s">
        <v>68</v>
      </c>
      <c r="K111" s="450" t="s">
        <v>334</v>
      </c>
      <c r="L111" s="210"/>
      <c r="M111" s="210"/>
      <c r="N111" s="212"/>
      <c r="O111" s="212"/>
      <c r="P111" s="212"/>
      <c r="Q111" s="212"/>
      <c r="R111" s="212"/>
    </row>
    <row r="112" spans="1:18" s="203" customFormat="1" ht="83.25" customHeight="1">
      <c r="A112" s="54" t="s">
        <v>825</v>
      </c>
      <c r="B112" s="519" t="s">
        <v>335</v>
      </c>
      <c r="C112" s="460"/>
      <c r="D112" s="460"/>
      <c r="E112" s="460"/>
      <c r="F112" s="449" t="s">
        <v>1281</v>
      </c>
      <c r="G112" s="449" t="s">
        <v>1282</v>
      </c>
      <c r="H112" s="449" t="s">
        <v>1345</v>
      </c>
      <c r="I112" s="449" t="s">
        <v>1392</v>
      </c>
      <c r="J112" s="449" t="s">
        <v>68</v>
      </c>
      <c r="K112" s="450" t="s">
        <v>425</v>
      </c>
      <c r="L112" s="238" t="s">
        <v>43</v>
      </c>
      <c r="M112" s="239" t="s">
        <v>41</v>
      </c>
      <c r="N112" s="90">
        <v>2248.3000000000002</v>
      </c>
      <c r="O112" s="90">
        <v>2169.357</v>
      </c>
      <c r="P112" s="90">
        <v>2430.9</v>
      </c>
      <c r="Q112" s="90">
        <v>2430.9</v>
      </c>
      <c r="R112" s="90">
        <v>2430.9</v>
      </c>
    </row>
    <row r="113" spans="1:18" s="203" customFormat="1" ht="54.75" customHeight="1">
      <c r="A113" s="546" t="s">
        <v>826</v>
      </c>
      <c r="B113" s="519" t="s">
        <v>336</v>
      </c>
      <c r="C113" s="565"/>
      <c r="D113" s="565"/>
      <c r="E113" s="565"/>
      <c r="F113" s="539"/>
      <c r="G113" s="603"/>
      <c r="H113" s="539"/>
      <c r="I113" s="539" t="s">
        <v>1443</v>
      </c>
      <c r="J113" s="539" t="s">
        <v>68</v>
      </c>
      <c r="K113" s="603" t="s">
        <v>1462</v>
      </c>
      <c r="L113" s="73" t="s">
        <v>43</v>
      </c>
      <c r="M113" s="155" t="s">
        <v>41</v>
      </c>
      <c r="N113" s="125">
        <v>35317.1</v>
      </c>
      <c r="O113" s="125">
        <v>33382</v>
      </c>
      <c r="P113" s="125">
        <v>17081.7</v>
      </c>
      <c r="Q113" s="125">
        <v>0</v>
      </c>
      <c r="R113" s="125">
        <v>0</v>
      </c>
    </row>
    <row r="114" spans="1:18" s="203" customFormat="1" ht="76.5" customHeight="1">
      <c r="A114" s="546"/>
      <c r="B114" s="519"/>
      <c r="C114" s="565"/>
      <c r="D114" s="565"/>
      <c r="E114" s="565"/>
      <c r="F114" s="539"/>
      <c r="G114" s="603"/>
      <c r="H114" s="539"/>
      <c r="I114" s="539"/>
      <c r="J114" s="539"/>
      <c r="K114" s="603"/>
      <c r="L114" s="342"/>
      <c r="M114" s="343"/>
      <c r="N114" s="344"/>
      <c r="O114" s="344"/>
      <c r="P114" s="344"/>
      <c r="Q114" s="344"/>
      <c r="R114" s="344"/>
    </row>
    <row r="115" spans="1:18" s="203" customFormat="1" ht="74.25" customHeight="1">
      <c r="A115" s="54" t="s">
        <v>1122</v>
      </c>
      <c r="B115" s="204"/>
      <c r="C115" s="449" t="s">
        <v>355</v>
      </c>
      <c r="D115" s="449" t="s">
        <v>321</v>
      </c>
      <c r="E115" s="449" t="s">
        <v>60</v>
      </c>
      <c r="F115" s="449" t="s">
        <v>353</v>
      </c>
      <c r="G115" s="449" t="s">
        <v>322</v>
      </c>
      <c r="H115" s="449" t="s">
        <v>227</v>
      </c>
      <c r="I115" s="449" t="s">
        <v>724</v>
      </c>
      <c r="J115" s="449" t="s">
        <v>133</v>
      </c>
      <c r="K115" s="449" t="s">
        <v>134</v>
      </c>
      <c r="L115" s="240" t="s">
        <v>43</v>
      </c>
      <c r="M115" s="156" t="s">
        <v>41</v>
      </c>
      <c r="N115" s="125">
        <v>425</v>
      </c>
      <c r="O115" s="125">
        <v>424.34</v>
      </c>
      <c r="P115" s="125">
        <v>493</v>
      </c>
      <c r="Q115" s="125">
        <v>0</v>
      </c>
      <c r="R115" s="125">
        <v>0</v>
      </c>
    </row>
    <row r="116" spans="1:18" s="203" customFormat="1" ht="85.5" customHeight="1">
      <c r="A116" s="54" t="s">
        <v>1123</v>
      </c>
      <c r="B116" s="204"/>
      <c r="C116" s="449" t="s">
        <v>355</v>
      </c>
      <c r="D116" s="449" t="s">
        <v>321</v>
      </c>
      <c r="E116" s="449" t="s">
        <v>60</v>
      </c>
      <c r="F116" s="449" t="s">
        <v>353</v>
      </c>
      <c r="G116" s="449" t="s">
        <v>322</v>
      </c>
      <c r="H116" s="449" t="s">
        <v>227</v>
      </c>
      <c r="I116" s="449" t="s">
        <v>1283</v>
      </c>
      <c r="J116" s="449" t="s">
        <v>68</v>
      </c>
      <c r="K116" s="449" t="s">
        <v>506</v>
      </c>
      <c r="L116" s="518" t="s">
        <v>43</v>
      </c>
      <c r="M116" s="518" t="s">
        <v>41</v>
      </c>
      <c r="N116" s="88">
        <v>5857.2420000000002</v>
      </c>
      <c r="O116" s="88">
        <v>5857.2179999999998</v>
      </c>
      <c r="P116" s="88">
        <f>400+3398.3+89.8+30</f>
        <v>3918.1000000000004</v>
      </c>
      <c r="Q116" s="88">
        <v>0</v>
      </c>
      <c r="R116" s="88">
        <v>3518.1</v>
      </c>
    </row>
    <row r="117" spans="1:18" s="203" customFormat="1" ht="60" customHeight="1">
      <c r="A117" s="211"/>
      <c r="B117" s="204"/>
      <c r="C117" s="223"/>
      <c r="D117" s="223"/>
      <c r="E117" s="223"/>
      <c r="F117" s="223"/>
      <c r="G117" s="223"/>
      <c r="H117" s="223"/>
      <c r="I117" s="449" t="s">
        <v>925</v>
      </c>
      <c r="J117" s="449" t="s">
        <v>68</v>
      </c>
      <c r="K117" s="450" t="s">
        <v>441</v>
      </c>
      <c r="L117" s="204"/>
      <c r="M117" s="204"/>
      <c r="N117" s="208"/>
      <c r="O117" s="208"/>
      <c r="P117" s="208"/>
      <c r="Q117" s="208"/>
      <c r="R117" s="208"/>
    </row>
    <row r="118" spans="1:18" s="203" customFormat="1" ht="84" customHeight="1">
      <c r="A118" s="211"/>
      <c r="B118" s="204"/>
      <c r="C118" s="223"/>
      <c r="D118" s="223"/>
      <c r="E118" s="223"/>
      <c r="F118" s="223"/>
      <c r="G118" s="223"/>
      <c r="H118" s="223"/>
      <c r="I118" s="449" t="s">
        <v>810</v>
      </c>
      <c r="J118" s="449" t="s">
        <v>68</v>
      </c>
      <c r="K118" s="450" t="s">
        <v>308</v>
      </c>
      <c r="L118" s="204"/>
      <c r="M118" s="204"/>
      <c r="N118" s="208"/>
      <c r="O118" s="208"/>
      <c r="P118" s="208"/>
      <c r="Q118" s="208"/>
      <c r="R118" s="208"/>
    </row>
    <row r="119" spans="1:18" s="114" customFormat="1" ht="48">
      <c r="A119" s="54" t="s">
        <v>978</v>
      </c>
      <c r="B119" s="519" t="s">
        <v>979</v>
      </c>
      <c r="C119" s="449"/>
      <c r="D119" s="449"/>
      <c r="E119" s="449"/>
      <c r="F119" s="449"/>
      <c r="G119" s="449"/>
      <c r="H119" s="449"/>
      <c r="I119" s="449" t="s">
        <v>1032</v>
      </c>
      <c r="J119" s="449" t="s">
        <v>68</v>
      </c>
      <c r="K119" s="450" t="s">
        <v>1033</v>
      </c>
      <c r="L119" s="100" t="s">
        <v>43</v>
      </c>
      <c r="M119" s="100" t="s">
        <v>41</v>
      </c>
      <c r="N119" s="110">
        <v>461.05</v>
      </c>
      <c r="O119" s="110">
        <v>461.05</v>
      </c>
      <c r="P119" s="110">
        <v>0</v>
      </c>
      <c r="Q119" s="110">
        <v>0</v>
      </c>
      <c r="R119" s="110">
        <v>0</v>
      </c>
    </row>
    <row r="120" spans="1:18" s="203" customFormat="1" ht="61.5" customHeight="1">
      <c r="A120" s="54" t="s">
        <v>1201</v>
      </c>
      <c r="B120" s="519" t="s">
        <v>1191</v>
      </c>
      <c r="C120" s="449"/>
      <c r="D120" s="449"/>
      <c r="E120" s="449"/>
      <c r="F120" s="449"/>
      <c r="G120" s="450"/>
      <c r="H120" s="449"/>
      <c r="I120" s="540" t="s">
        <v>1391</v>
      </c>
      <c r="J120" s="464" t="s">
        <v>68</v>
      </c>
      <c r="K120" s="464" t="s">
        <v>1388</v>
      </c>
      <c r="L120" s="519" t="s">
        <v>43</v>
      </c>
      <c r="M120" s="154" t="s">
        <v>41</v>
      </c>
      <c r="N120" s="89">
        <v>0</v>
      </c>
      <c r="O120" s="89">
        <v>0</v>
      </c>
      <c r="P120" s="89">
        <v>384.53899999999999</v>
      </c>
      <c r="Q120" s="89">
        <v>568.20000000000005</v>
      </c>
      <c r="R120" s="89">
        <v>0</v>
      </c>
    </row>
    <row r="121" spans="1:18" s="203" customFormat="1" ht="72.75" customHeight="1">
      <c r="A121" s="54" t="s">
        <v>1202</v>
      </c>
      <c r="B121" s="519" t="s">
        <v>1193</v>
      </c>
      <c r="C121" s="449"/>
      <c r="D121" s="449"/>
      <c r="E121" s="449"/>
      <c r="F121" s="449"/>
      <c r="G121" s="450"/>
      <c r="H121" s="449"/>
      <c r="I121" s="540"/>
      <c r="J121" s="464"/>
      <c r="K121" s="464"/>
      <c r="L121" s="519" t="s">
        <v>43</v>
      </c>
      <c r="M121" s="154" t="s">
        <v>41</v>
      </c>
      <c r="N121" s="89">
        <v>0</v>
      </c>
      <c r="O121" s="89">
        <v>0</v>
      </c>
      <c r="P121" s="89">
        <v>11.893000000000001</v>
      </c>
      <c r="Q121" s="89">
        <v>17.574000000000002</v>
      </c>
      <c r="R121" s="89">
        <v>0</v>
      </c>
    </row>
    <row r="122" spans="1:18" s="203" customFormat="1" ht="26.25" customHeight="1">
      <c r="A122" s="54" t="s">
        <v>1124</v>
      </c>
      <c r="B122" s="204"/>
      <c r="C122" s="460"/>
      <c r="D122" s="460"/>
      <c r="E122" s="460"/>
      <c r="F122" s="449"/>
      <c r="G122" s="460"/>
      <c r="H122" s="460"/>
      <c r="I122" s="460"/>
      <c r="J122" s="460"/>
      <c r="K122" s="460"/>
      <c r="L122" s="360"/>
      <c r="M122" s="360"/>
      <c r="N122" s="361"/>
      <c r="O122" s="361"/>
      <c r="P122" s="361"/>
      <c r="Q122" s="361"/>
      <c r="R122" s="361"/>
    </row>
    <row r="123" spans="1:18" s="203" customFormat="1" ht="60">
      <c r="A123" s="54"/>
      <c r="B123" s="519" t="s">
        <v>465</v>
      </c>
      <c r="C123" s="464"/>
      <c r="D123" s="464"/>
      <c r="E123" s="464"/>
      <c r="F123" s="449"/>
      <c r="G123" s="464"/>
      <c r="H123" s="464"/>
      <c r="I123" s="464" t="s">
        <v>872</v>
      </c>
      <c r="J123" s="464" t="s">
        <v>68</v>
      </c>
      <c r="K123" s="464" t="s">
        <v>873</v>
      </c>
      <c r="L123" s="100" t="s">
        <v>43</v>
      </c>
      <c r="M123" s="100" t="s">
        <v>41</v>
      </c>
      <c r="N123" s="110">
        <v>31.5</v>
      </c>
      <c r="O123" s="110">
        <v>31.5</v>
      </c>
      <c r="P123" s="110">
        <v>0</v>
      </c>
      <c r="Q123" s="110">
        <v>0</v>
      </c>
      <c r="R123" s="110">
        <v>0</v>
      </c>
    </row>
    <row r="124" spans="1:18" s="203" customFormat="1" ht="60">
      <c r="A124" s="54"/>
      <c r="B124" s="519" t="s">
        <v>480</v>
      </c>
      <c r="C124" s="464"/>
      <c r="D124" s="464"/>
      <c r="E124" s="464"/>
      <c r="F124" s="449"/>
      <c r="G124" s="464"/>
      <c r="H124" s="464"/>
      <c r="I124" s="464" t="s">
        <v>941</v>
      </c>
      <c r="J124" s="464" t="s">
        <v>68</v>
      </c>
      <c r="K124" s="464" t="s">
        <v>919</v>
      </c>
      <c r="L124" s="100" t="s">
        <v>43</v>
      </c>
      <c r="M124" s="100" t="s">
        <v>41</v>
      </c>
      <c r="N124" s="110">
        <v>150</v>
      </c>
      <c r="O124" s="110">
        <v>150</v>
      </c>
      <c r="P124" s="110">
        <v>0</v>
      </c>
      <c r="Q124" s="110">
        <v>0</v>
      </c>
      <c r="R124" s="110">
        <v>0</v>
      </c>
    </row>
    <row r="125" spans="1:18" s="114" customFormat="1" ht="60">
      <c r="A125" s="54"/>
      <c r="B125" s="519" t="s">
        <v>512</v>
      </c>
      <c r="C125" s="464"/>
      <c r="D125" s="464"/>
      <c r="E125" s="464"/>
      <c r="F125" s="464"/>
      <c r="G125" s="464"/>
      <c r="H125" s="464"/>
      <c r="I125" s="449" t="s">
        <v>1084</v>
      </c>
      <c r="J125" s="449" t="s">
        <v>68</v>
      </c>
      <c r="K125" s="449" t="s">
        <v>1085</v>
      </c>
      <c r="L125" s="100" t="s">
        <v>43</v>
      </c>
      <c r="M125" s="100" t="s">
        <v>41</v>
      </c>
      <c r="N125" s="110">
        <v>90</v>
      </c>
      <c r="O125" s="110">
        <v>90</v>
      </c>
      <c r="P125" s="110">
        <v>0</v>
      </c>
      <c r="Q125" s="110">
        <v>0</v>
      </c>
      <c r="R125" s="110">
        <v>0</v>
      </c>
    </row>
    <row r="126" spans="1:18" s="114" customFormat="1" ht="71.25" customHeight="1">
      <c r="A126" s="231" t="s">
        <v>614</v>
      </c>
      <c r="B126" s="176" t="s">
        <v>574</v>
      </c>
      <c r="C126" s="232"/>
      <c r="D126" s="232"/>
      <c r="E126" s="232"/>
      <c r="F126" s="232"/>
      <c r="G126" s="232"/>
      <c r="H126" s="233"/>
      <c r="I126" s="232"/>
      <c r="J126" s="232"/>
      <c r="K126" s="233"/>
      <c r="L126" s="72"/>
      <c r="M126" s="72"/>
      <c r="N126" s="282">
        <f>SUM(N127:N128)</f>
        <v>7579.1010000000006</v>
      </c>
      <c r="O126" s="282">
        <f>SUM(O127:O128)</f>
        <v>7579.0640000000003</v>
      </c>
      <c r="P126" s="282">
        <f>SUM(P127:P128)</f>
        <v>6720.9400000000005</v>
      </c>
      <c r="Q126" s="282">
        <f t="shared" ref="Q126:R126" si="15">SUM(Q127:Q128)</f>
        <v>7666.8</v>
      </c>
      <c r="R126" s="282">
        <f t="shared" si="15"/>
        <v>7666.8</v>
      </c>
    </row>
    <row r="127" spans="1:18" s="203" customFormat="1" ht="59.25" customHeight="1">
      <c r="A127" s="211"/>
      <c r="B127" s="460"/>
      <c r="C127" s="296" t="s">
        <v>355</v>
      </c>
      <c r="D127" s="357" t="s">
        <v>321</v>
      </c>
      <c r="E127" s="296" t="s">
        <v>60</v>
      </c>
      <c r="F127" s="595" t="s">
        <v>1284</v>
      </c>
      <c r="G127" s="539" t="s">
        <v>1285</v>
      </c>
      <c r="H127" s="539" t="s">
        <v>1345</v>
      </c>
      <c r="I127" s="449" t="s">
        <v>1015</v>
      </c>
      <c r="J127" s="449" t="s">
        <v>1016</v>
      </c>
      <c r="K127" s="450" t="s">
        <v>1017</v>
      </c>
      <c r="L127" s="518" t="s">
        <v>43</v>
      </c>
      <c r="M127" s="480" t="s">
        <v>43</v>
      </c>
      <c r="N127" s="125">
        <v>2849.8009999999999</v>
      </c>
      <c r="O127" s="125">
        <v>2849.8009999999999</v>
      </c>
      <c r="P127" s="125">
        <v>2937.5</v>
      </c>
      <c r="Q127" s="125">
        <v>2937.5</v>
      </c>
      <c r="R127" s="125">
        <v>2937.5</v>
      </c>
    </row>
    <row r="128" spans="1:18" s="203" customFormat="1" ht="58.5" customHeight="1">
      <c r="A128" s="211"/>
      <c r="B128" s="519" t="s">
        <v>331</v>
      </c>
      <c r="C128" s="460"/>
      <c r="D128" s="460"/>
      <c r="E128" s="460"/>
      <c r="F128" s="595"/>
      <c r="G128" s="539"/>
      <c r="H128" s="539"/>
      <c r="I128" s="449" t="s">
        <v>545</v>
      </c>
      <c r="J128" s="449" t="s">
        <v>68</v>
      </c>
      <c r="K128" s="450" t="s">
        <v>330</v>
      </c>
      <c r="L128" s="519"/>
      <c r="M128" s="154"/>
      <c r="N128" s="125">
        <v>4729.3</v>
      </c>
      <c r="O128" s="125">
        <v>4729.2629999999999</v>
      </c>
      <c r="P128" s="125">
        <v>3783.44</v>
      </c>
      <c r="Q128" s="125">
        <v>4729.3</v>
      </c>
      <c r="R128" s="125">
        <v>4729.3</v>
      </c>
    </row>
    <row r="129" spans="1:18" s="114" customFormat="1" ht="86.25" customHeight="1">
      <c r="A129" s="566" t="s">
        <v>615</v>
      </c>
      <c r="B129" s="562" t="s">
        <v>44</v>
      </c>
      <c r="C129" s="296" t="s">
        <v>355</v>
      </c>
      <c r="D129" s="297" t="s">
        <v>321</v>
      </c>
      <c r="E129" s="136" t="s">
        <v>60</v>
      </c>
      <c r="F129" s="136"/>
      <c r="G129" s="136"/>
      <c r="H129" s="187"/>
      <c r="I129" s="296" t="s">
        <v>810</v>
      </c>
      <c r="J129" s="182" t="s">
        <v>68</v>
      </c>
      <c r="K129" s="183" t="s">
        <v>308</v>
      </c>
      <c r="L129" s="457" t="s">
        <v>43</v>
      </c>
      <c r="M129" s="457" t="s">
        <v>38</v>
      </c>
      <c r="N129" s="382">
        <f>319.4+7.245</f>
        <v>326.64499999999998</v>
      </c>
      <c r="O129" s="382">
        <f>319.4+7.245</f>
        <v>326.64499999999998</v>
      </c>
      <c r="P129" s="382">
        <v>319.39999999999998</v>
      </c>
      <c r="Q129" s="382">
        <v>319.39999999999998</v>
      </c>
      <c r="R129" s="382">
        <v>319.39999999999998</v>
      </c>
    </row>
    <row r="130" spans="1:18" s="114" customFormat="1" ht="177.75" customHeight="1">
      <c r="A130" s="567"/>
      <c r="B130" s="563"/>
      <c r="C130" s="522"/>
      <c r="D130" s="522"/>
      <c r="E130" s="522"/>
      <c r="F130" s="522"/>
      <c r="G130" s="522"/>
      <c r="H130" s="201"/>
      <c r="I130" s="522"/>
      <c r="J130" s="522"/>
      <c r="K130" s="201"/>
      <c r="L130" s="458" t="s">
        <v>43</v>
      </c>
      <c r="M130" s="458" t="s">
        <v>41</v>
      </c>
      <c r="N130" s="282">
        <v>504.8</v>
      </c>
      <c r="O130" s="282">
        <v>504.8</v>
      </c>
      <c r="P130" s="282">
        <v>506.6</v>
      </c>
      <c r="Q130" s="282">
        <v>506.6</v>
      </c>
      <c r="R130" s="282">
        <v>506.6</v>
      </c>
    </row>
    <row r="131" spans="1:18" s="115" customFormat="1" ht="108.75" hidden="1" customHeight="1">
      <c r="A131" s="566" t="s">
        <v>616</v>
      </c>
      <c r="B131" s="467">
        <v>1025</v>
      </c>
      <c r="C131" s="477" t="s">
        <v>56</v>
      </c>
      <c r="D131" s="477" t="s">
        <v>356</v>
      </c>
      <c r="E131" s="477" t="s">
        <v>57</v>
      </c>
      <c r="F131" s="568" t="s">
        <v>103</v>
      </c>
      <c r="G131" s="461" t="s">
        <v>70</v>
      </c>
      <c r="H131" s="461" t="s">
        <v>104</v>
      </c>
      <c r="I131" s="136" t="s">
        <v>105</v>
      </c>
      <c r="J131" s="136" t="s">
        <v>68</v>
      </c>
      <c r="K131" s="187" t="s">
        <v>106</v>
      </c>
      <c r="L131" s="457" t="s">
        <v>38</v>
      </c>
      <c r="M131" s="457" t="s">
        <v>36</v>
      </c>
      <c r="N131" s="37">
        <v>0</v>
      </c>
      <c r="O131" s="37"/>
      <c r="P131" s="37">
        <v>0</v>
      </c>
      <c r="Q131" s="37"/>
      <c r="R131" s="179">
        <v>0</v>
      </c>
    </row>
    <row r="132" spans="1:18" s="115" customFormat="1" ht="97.5" hidden="1" customHeight="1">
      <c r="A132" s="567"/>
      <c r="B132" s="473"/>
      <c r="C132" s="478"/>
      <c r="D132" s="478"/>
      <c r="E132" s="478"/>
      <c r="F132" s="569"/>
      <c r="G132" s="462"/>
      <c r="H132" s="462"/>
      <c r="I132" s="522" t="s">
        <v>107</v>
      </c>
      <c r="J132" s="522" t="s">
        <v>68</v>
      </c>
      <c r="K132" s="201" t="s">
        <v>108</v>
      </c>
      <c r="L132" s="468"/>
      <c r="M132" s="468"/>
      <c r="N132" s="55"/>
      <c r="O132" s="55"/>
      <c r="P132" s="55"/>
      <c r="Q132" s="55"/>
      <c r="R132" s="92"/>
    </row>
    <row r="133" spans="1:18" s="115" customFormat="1" ht="13.5" customHeight="1">
      <c r="A133" s="566" t="s">
        <v>617</v>
      </c>
      <c r="B133" s="468">
        <v>1026</v>
      </c>
      <c r="C133" s="453"/>
      <c r="D133" s="453"/>
      <c r="E133" s="453"/>
      <c r="F133" s="474"/>
      <c r="G133" s="474"/>
      <c r="H133" s="474"/>
      <c r="I133" s="521"/>
      <c r="J133" s="521"/>
      <c r="K133" s="328"/>
      <c r="L133" s="484"/>
      <c r="M133" s="484"/>
      <c r="N133" s="97">
        <f>SUM(N134:N139)</f>
        <v>6892.1</v>
      </c>
      <c r="O133" s="97">
        <f>SUM(O134:O139)</f>
        <v>2733.7</v>
      </c>
      <c r="P133" s="97">
        <f>SUM(P134:P143)</f>
        <v>13169.893</v>
      </c>
      <c r="Q133" s="97">
        <f t="shared" ref="Q133:R133" si="16">SUM(Q134:Q143)</f>
        <v>1602.2</v>
      </c>
      <c r="R133" s="97">
        <f t="shared" si="16"/>
        <v>3092.2</v>
      </c>
    </row>
    <row r="134" spans="1:18" s="115" customFormat="1" ht="71.25" customHeight="1">
      <c r="A134" s="580"/>
      <c r="B134" s="572"/>
      <c r="C134" s="549" t="s">
        <v>56</v>
      </c>
      <c r="D134" s="549" t="s">
        <v>102</v>
      </c>
      <c r="E134" s="549" t="s">
        <v>57</v>
      </c>
      <c r="F134" s="549" t="s">
        <v>31</v>
      </c>
      <c r="G134" s="549" t="s">
        <v>31</v>
      </c>
      <c r="H134" s="549" t="s">
        <v>31</v>
      </c>
      <c r="I134" s="447" t="s">
        <v>98</v>
      </c>
      <c r="J134" s="447" t="s">
        <v>99</v>
      </c>
      <c r="K134" s="447" t="s">
        <v>100</v>
      </c>
      <c r="L134" s="447" t="s">
        <v>35</v>
      </c>
      <c r="M134" s="447" t="s">
        <v>41</v>
      </c>
      <c r="N134" s="20">
        <f>769.4+1138.7+600+0.1+300</f>
        <v>2808.2</v>
      </c>
      <c r="O134" s="20">
        <f>0+1138.7+600+0.1+0</f>
        <v>1738.8</v>
      </c>
      <c r="P134" s="20">
        <f>2862.193+1164+170+25</f>
        <v>4221.1930000000002</v>
      </c>
      <c r="Q134" s="20">
        <v>1602.2</v>
      </c>
      <c r="R134" s="170">
        <v>3092.2</v>
      </c>
    </row>
    <row r="135" spans="1:18" s="115" customFormat="1" ht="38.25" customHeight="1">
      <c r="A135" s="580"/>
      <c r="B135" s="573"/>
      <c r="C135" s="564"/>
      <c r="D135" s="564"/>
      <c r="E135" s="564"/>
      <c r="F135" s="564"/>
      <c r="G135" s="564"/>
      <c r="H135" s="564"/>
      <c r="I135" s="459" t="s">
        <v>518</v>
      </c>
      <c r="J135" s="459" t="s">
        <v>68</v>
      </c>
      <c r="K135" s="459" t="s">
        <v>519</v>
      </c>
      <c r="L135" s="459"/>
      <c r="M135" s="459"/>
      <c r="N135" s="56"/>
      <c r="O135" s="56"/>
      <c r="P135" s="56"/>
      <c r="Q135" s="56"/>
      <c r="R135" s="172"/>
    </row>
    <row r="136" spans="1:18" s="115" customFormat="1" ht="72">
      <c r="A136" s="456"/>
      <c r="B136" s="468"/>
      <c r="C136" s="459"/>
      <c r="D136" s="459"/>
      <c r="E136" s="459"/>
      <c r="F136" s="459"/>
      <c r="G136" s="459"/>
      <c r="H136" s="459"/>
      <c r="I136" s="459" t="s">
        <v>1018</v>
      </c>
      <c r="J136" s="459" t="s">
        <v>68</v>
      </c>
      <c r="K136" s="459" t="s">
        <v>1019</v>
      </c>
      <c r="L136" s="459"/>
      <c r="M136" s="459"/>
      <c r="N136" s="56"/>
      <c r="O136" s="56"/>
      <c r="P136" s="56"/>
      <c r="Q136" s="56"/>
      <c r="R136" s="172"/>
    </row>
    <row r="137" spans="1:18" s="115" customFormat="1" ht="96">
      <c r="A137" s="456"/>
      <c r="B137" s="468"/>
      <c r="C137" s="459"/>
      <c r="D137" s="459"/>
      <c r="E137" s="459"/>
      <c r="F137" s="459"/>
      <c r="G137" s="459"/>
      <c r="H137" s="459"/>
      <c r="I137" s="459" t="s">
        <v>1103</v>
      </c>
      <c r="J137" s="459" t="s">
        <v>68</v>
      </c>
      <c r="K137" s="459" t="s">
        <v>1104</v>
      </c>
      <c r="L137" s="459"/>
      <c r="M137" s="459"/>
      <c r="N137" s="56"/>
      <c r="O137" s="56"/>
      <c r="P137" s="56"/>
      <c r="Q137" s="56"/>
      <c r="R137" s="172"/>
    </row>
    <row r="138" spans="1:18" s="114" customFormat="1" ht="85.5" customHeight="1">
      <c r="A138" s="444"/>
      <c r="B138" s="509" t="s">
        <v>894</v>
      </c>
      <c r="C138" s="459"/>
      <c r="D138" s="459"/>
      <c r="E138" s="459"/>
      <c r="F138" s="459"/>
      <c r="G138" s="459"/>
      <c r="H138" s="459"/>
      <c r="I138" s="459" t="s">
        <v>1031</v>
      </c>
      <c r="J138" s="459" t="s">
        <v>68</v>
      </c>
      <c r="K138" s="459" t="s">
        <v>1030</v>
      </c>
      <c r="L138" s="459"/>
      <c r="M138" s="459"/>
      <c r="N138" s="53">
        <v>999.9</v>
      </c>
      <c r="O138" s="53">
        <v>994.9</v>
      </c>
      <c r="P138" s="53">
        <v>0</v>
      </c>
      <c r="Q138" s="53">
        <v>0</v>
      </c>
      <c r="R138" s="171">
        <v>0</v>
      </c>
    </row>
    <row r="139" spans="1:18" s="114" customFormat="1" ht="84.75" customHeight="1">
      <c r="A139" s="444"/>
      <c r="B139" s="509" t="s">
        <v>886</v>
      </c>
      <c r="C139" s="459"/>
      <c r="D139" s="459"/>
      <c r="E139" s="459"/>
      <c r="F139" s="459"/>
      <c r="G139" s="459"/>
      <c r="H139" s="459"/>
      <c r="I139" s="459" t="s">
        <v>938</v>
      </c>
      <c r="J139" s="459" t="s">
        <v>68</v>
      </c>
      <c r="K139" s="459" t="s">
        <v>934</v>
      </c>
      <c r="L139" s="459"/>
      <c r="M139" s="459"/>
      <c r="N139" s="53">
        <v>3084</v>
      </c>
      <c r="O139" s="53">
        <v>0</v>
      </c>
      <c r="P139" s="53">
        <v>0</v>
      </c>
      <c r="Q139" s="53">
        <v>0</v>
      </c>
      <c r="R139" s="171">
        <v>0</v>
      </c>
    </row>
    <row r="140" spans="1:18" s="114" customFormat="1" ht="66.75" customHeight="1">
      <c r="A140" s="444"/>
      <c r="B140" s="509" t="s">
        <v>1175</v>
      </c>
      <c r="C140" s="459"/>
      <c r="D140" s="459"/>
      <c r="E140" s="459"/>
      <c r="F140" s="564" t="s">
        <v>1362</v>
      </c>
      <c r="G140" s="564" t="s">
        <v>1363</v>
      </c>
      <c r="H140" s="564" t="s">
        <v>1345</v>
      </c>
      <c r="I140" s="464" t="s">
        <v>91</v>
      </c>
      <c r="J140" s="464" t="s">
        <v>68</v>
      </c>
      <c r="K140" s="464" t="s">
        <v>71</v>
      </c>
      <c r="L140" s="459"/>
      <c r="M140" s="459"/>
      <c r="N140" s="53">
        <v>0</v>
      </c>
      <c r="O140" s="53">
        <v>0</v>
      </c>
      <c r="P140" s="53">
        <v>2695.7</v>
      </c>
      <c r="Q140" s="53">
        <v>0</v>
      </c>
      <c r="R140" s="171">
        <v>0</v>
      </c>
    </row>
    <row r="141" spans="1:18" s="114" customFormat="1" ht="66.75" customHeight="1">
      <c r="A141" s="444"/>
      <c r="B141" s="509" t="s">
        <v>1174</v>
      </c>
      <c r="C141" s="459"/>
      <c r="D141" s="459"/>
      <c r="E141" s="459"/>
      <c r="F141" s="564"/>
      <c r="G141" s="564"/>
      <c r="H141" s="564"/>
      <c r="I141" s="459"/>
      <c r="J141" s="459"/>
      <c r="K141" s="459"/>
      <c r="L141" s="459"/>
      <c r="M141" s="459"/>
      <c r="N141" s="53">
        <v>0</v>
      </c>
      <c r="O141" s="53">
        <v>0</v>
      </c>
      <c r="P141" s="53">
        <v>1237.5</v>
      </c>
      <c r="Q141" s="53">
        <v>0</v>
      </c>
      <c r="R141" s="171">
        <v>0</v>
      </c>
    </row>
    <row r="142" spans="1:18" s="114" customFormat="1" ht="24.75" customHeight="1">
      <c r="A142" s="444"/>
      <c r="B142" s="509" t="s">
        <v>1406</v>
      </c>
      <c r="C142" s="459"/>
      <c r="D142" s="459"/>
      <c r="E142" s="459"/>
      <c r="F142" s="459"/>
      <c r="G142" s="459"/>
      <c r="H142" s="459"/>
      <c r="I142" s="459"/>
      <c r="J142" s="459"/>
      <c r="K142" s="459"/>
      <c r="L142" s="459"/>
      <c r="M142" s="459"/>
      <c r="N142" s="53">
        <v>0</v>
      </c>
      <c r="O142" s="53">
        <v>0</v>
      </c>
      <c r="P142" s="53">
        <v>3015.5</v>
      </c>
      <c r="Q142" s="53">
        <v>0</v>
      </c>
      <c r="R142" s="171">
        <v>0</v>
      </c>
    </row>
    <row r="143" spans="1:18" s="114" customFormat="1" ht="24.75" customHeight="1">
      <c r="A143" s="471"/>
      <c r="B143" s="72" t="s">
        <v>1407</v>
      </c>
      <c r="C143" s="448"/>
      <c r="D143" s="448"/>
      <c r="E143" s="448"/>
      <c r="F143" s="448"/>
      <c r="G143" s="448"/>
      <c r="H143" s="448"/>
      <c r="I143" s="448"/>
      <c r="J143" s="448"/>
      <c r="K143" s="448"/>
      <c r="L143" s="448"/>
      <c r="M143" s="448"/>
      <c r="N143" s="58">
        <v>0</v>
      </c>
      <c r="O143" s="58">
        <v>0</v>
      </c>
      <c r="P143" s="58">
        <v>2000</v>
      </c>
      <c r="Q143" s="58">
        <v>0</v>
      </c>
      <c r="R143" s="173">
        <v>0</v>
      </c>
    </row>
    <row r="144" spans="1:18" s="115" customFormat="1" ht="108.75" customHeight="1">
      <c r="A144" s="37" t="s">
        <v>859</v>
      </c>
      <c r="B144" s="467" t="s">
        <v>860</v>
      </c>
      <c r="C144" s="447"/>
      <c r="D144" s="447"/>
      <c r="E144" s="447"/>
      <c r="F144" s="52"/>
      <c r="G144" s="52"/>
      <c r="H144" s="52"/>
      <c r="I144" s="447"/>
      <c r="J144" s="447"/>
      <c r="K144" s="447"/>
      <c r="L144" s="508" t="s">
        <v>37</v>
      </c>
      <c r="M144" s="156" t="s">
        <v>25</v>
      </c>
      <c r="N144" s="164">
        <v>0</v>
      </c>
      <c r="O144" s="164">
        <v>0</v>
      </c>
      <c r="P144" s="164">
        <v>0</v>
      </c>
      <c r="Q144" s="164">
        <v>0</v>
      </c>
      <c r="R144" s="164">
        <v>0</v>
      </c>
    </row>
    <row r="145" spans="1:18" s="115" customFormat="1" ht="36.75" customHeight="1">
      <c r="A145" s="37" t="s">
        <v>618</v>
      </c>
      <c r="B145" s="467">
        <v>1029</v>
      </c>
      <c r="C145" s="467"/>
      <c r="D145" s="467"/>
      <c r="E145" s="467"/>
      <c r="F145" s="37"/>
      <c r="G145" s="37"/>
      <c r="H145" s="37"/>
      <c r="I145" s="467"/>
      <c r="J145" s="467"/>
      <c r="K145" s="467"/>
      <c r="L145" s="467"/>
      <c r="M145" s="511"/>
      <c r="N145" s="164">
        <f>SUM(N147:N149)</f>
        <v>4007.893</v>
      </c>
      <c r="O145" s="164">
        <f>SUM(O147:O149)</f>
        <v>3999.6759999999999</v>
      </c>
      <c r="P145" s="164">
        <f>SUM(P147:P151)</f>
        <v>3911.2</v>
      </c>
      <c r="Q145" s="164">
        <f t="shared" ref="Q145:R145" si="17">SUM(Q147:Q151)</f>
        <v>2450.1</v>
      </c>
      <c r="R145" s="164">
        <f t="shared" si="17"/>
        <v>2450.1</v>
      </c>
    </row>
    <row r="146" spans="1:18" s="115" customFormat="1" ht="14.25" customHeight="1">
      <c r="A146" s="79" t="s">
        <v>97</v>
      </c>
      <c r="B146" s="493"/>
      <c r="C146" s="493"/>
      <c r="D146" s="493"/>
      <c r="E146" s="493"/>
      <c r="F146" s="69"/>
      <c r="G146" s="69"/>
      <c r="H146" s="69"/>
      <c r="I146" s="493"/>
      <c r="J146" s="493"/>
      <c r="K146" s="493"/>
      <c r="L146" s="80"/>
      <c r="M146" s="511"/>
      <c r="N146" s="164"/>
      <c r="O146" s="164"/>
      <c r="P146" s="164"/>
      <c r="Q146" s="164"/>
      <c r="R146" s="164"/>
    </row>
    <row r="147" spans="1:18" s="114" customFormat="1" ht="38.25" customHeight="1">
      <c r="A147" s="576"/>
      <c r="B147" s="459"/>
      <c r="C147" s="585" t="s">
        <v>56</v>
      </c>
      <c r="D147" s="543" t="s">
        <v>109</v>
      </c>
      <c r="E147" s="543" t="s">
        <v>57</v>
      </c>
      <c r="F147" s="452"/>
      <c r="G147" s="452"/>
      <c r="H147" s="452"/>
      <c r="I147" s="452" t="s">
        <v>110</v>
      </c>
      <c r="J147" s="452" t="s">
        <v>68</v>
      </c>
      <c r="K147" s="16" t="s">
        <v>60</v>
      </c>
      <c r="L147" s="447" t="s">
        <v>32</v>
      </c>
      <c r="M147" s="506" t="s">
        <v>26</v>
      </c>
      <c r="N147" s="63">
        <f>2757.13-130.337</f>
        <v>2626.7930000000001</v>
      </c>
      <c r="O147" s="63">
        <f>2748.913-130.337</f>
        <v>2618.576</v>
      </c>
      <c r="P147" s="63">
        <f>2400.6+29.5</f>
        <v>2430.1</v>
      </c>
      <c r="Q147" s="63">
        <v>2450.1</v>
      </c>
      <c r="R147" s="63">
        <v>2450.1</v>
      </c>
    </row>
    <row r="148" spans="1:18" s="114" customFormat="1" ht="84" customHeight="1">
      <c r="A148" s="545"/>
      <c r="B148" s="459"/>
      <c r="C148" s="586"/>
      <c r="D148" s="551"/>
      <c r="E148" s="551"/>
      <c r="F148" s="452"/>
      <c r="G148" s="452"/>
      <c r="H148" s="452"/>
      <c r="I148" s="452" t="s">
        <v>1286</v>
      </c>
      <c r="J148" s="452" t="s">
        <v>68</v>
      </c>
      <c r="K148" s="16" t="s">
        <v>448</v>
      </c>
      <c r="L148" s="459"/>
      <c r="M148" s="507"/>
      <c r="N148" s="47"/>
      <c r="O148" s="47"/>
      <c r="P148" s="47"/>
      <c r="Q148" s="47"/>
      <c r="R148" s="47"/>
    </row>
    <row r="149" spans="1:18" s="114" customFormat="1" ht="47.25" customHeight="1">
      <c r="A149" s="444"/>
      <c r="B149" s="459"/>
      <c r="C149" s="453"/>
      <c r="D149" s="453"/>
      <c r="E149" s="453"/>
      <c r="F149" s="466"/>
      <c r="G149" s="452"/>
      <c r="H149" s="452"/>
      <c r="I149" s="452" t="s">
        <v>91</v>
      </c>
      <c r="J149" s="452" t="s">
        <v>68</v>
      </c>
      <c r="K149" s="16" t="s">
        <v>71</v>
      </c>
      <c r="L149" s="592" t="s">
        <v>40</v>
      </c>
      <c r="M149" s="620" t="s">
        <v>32</v>
      </c>
      <c r="N149" s="645">
        <v>1381.1</v>
      </c>
      <c r="O149" s="648">
        <v>1381.1</v>
      </c>
      <c r="P149" s="645">
        <v>968.1</v>
      </c>
      <c r="Q149" s="645">
        <v>0</v>
      </c>
      <c r="R149" s="645">
        <v>0</v>
      </c>
    </row>
    <row r="150" spans="1:18" s="114" customFormat="1" ht="95.25" customHeight="1">
      <c r="A150" s="45"/>
      <c r="B150" s="509" t="s">
        <v>135</v>
      </c>
      <c r="C150" s="81"/>
      <c r="D150" s="81"/>
      <c r="E150" s="81"/>
      <c r="F150" s="419" t="s">
        <v>1287</v>
      </c>
      <c r="G150" s="459" t="s">
        <v>1288</v>
      </c>
      <c r="H150" s="474" t="s">
        <v>1345</v>
      </c>
      <c r="I150" s="453" t="s">
        <v>1439</v>
      </c>
      <c r="J150" s="453" t="s">
        <v>68</v>
      </c>
      <c r="K150" s="453" t="s">
        <v>1238</v>
      </c>
      <c r="L150" s="593"/>
      <c r="M150" s="647"/>
      <c r="N150" s="646"/>
      <c r="O150" s="649"/>
      <c r="P150" s="646"/>
      <c r="Q150" s="646"/>
      <c r="R150" s="646"/>
    </row>
    <row r="151" spans="1:18" s="114" customFormat="1" ht="16.5" customHeight="1">
      <c r="A151" s="48"/>
      <c r="B151" s="72" t="s">
        <v>987</v>
      </c>
      <c r="C151" s="91"/>
      <c r="D151" s="91"/>
      <c r="E151" s="91"/>
      <c r="F151" s="462"/>
      <c r="G151" s="462"/>
      <c r="H151" s="462"/>
      <c r="I151" s="478"/>
      <c r="J151" s="478"/>
      <c r="K151" s="478"/>
      <c r="L151" s="482"/>
      <c r="M151" s="483"/>
      <c r="N151" s="386"/>
      <c r="O151" s="387"/>
      <c r="P151" s="386">
        <v>513</v>
      </c>
      <c r="Q151" s="386"/>
      <c r="R151" s="388"/>
    </row>
    <row r="152" spans="1:18" s="115" customFormat="1" ht="31.5" customHeight="1">
      <c r="A152" s="566" t="s">
        <v>1408</v>
      </c>
      <c r="B152" s="457" t="s">
        <v>1409</v>
      </c>
      <c r="C152" s="193"/>
      <c r="D152" s="193"/>
      <c r="E152" s="193"/>
      <c r="F152" s="194"/>
      <c r="G152" s="194"/>
      <c r="H152" s="194"/>
      <c r="I152" s="195"/>
      <c r="J152" s="195"/>
      <c r="K152" s="195"/>
      <c r="L152" s="196"/>
      <c r="M152" s="197"/>
      <c r="N152" s="198">
        <f>SUM(N153:N156)</f>
        <v>0</v>
      </c>
      <c r="O152" s="198">
        <f t="shared" ref="O152:R152" si="18">SUM(O153:O156)</f>
        <v>0</v>
      </c>
      <c r="P152" s="198">
        <f t="shared" si="18"/>
        <v>58173.002999999997</v>
      </c>
      <c r="Q152" s="198">
        <f t="shared" si="18"/>
        <v>83608.7</v>
      </c>
      <c r="R152" s="198">
        <f t="shared" si="18"/>
        <v>0</v>
      </c>
    </row>
    <row r="153" spans="1:18" s="115" customFormat="1" ht="40.5" customHeight="1">
      <c r="A153" s="580"/>
      <c r="B153" s="509" t="s">
        <v>1164</v>
      </c>
      <c r="C153" s="549" t="s">
        <v>56</v>
      </c>
      <c r="D153" s="549" t="s">
        <v>1468</v>
      </c>
      <c r="E153" s="549" t="s">
        <v>57</v>
      </c>
      <c r="F153" s="424"/>
      <c r="G153" s="424"/>
      <c r="H153" s="424"/>
      <c r="I153" s="667" t="s">
        <v>1467</v>
      </c>
      <c r="J153" s="667" t="s">
        <v>68</v>
      </c>
      <c r="K153" s="667" t="s">
        <v>1451</v>
      </c>
      <c r="L153" s="425" t="s">
        <v>37</v>
      </c>
      <c r="M153" s="426" t="s">
        <v>35</v>
      </c>
      <c r="N153" s="530">
        <v>0</v>
      </c>
      <c r="O153" s="530">
        <v>0</v>
      </c>
      <c r="P153" s="530">
        <v>13548.503000000001</v>
      </c>
      <c r="Q153" s="530">
        <v>0</v>
      </c>
      <c r="R153" s="531">
        <v>0</v>
      </c>
    </row>
    <row r="154" spans="1:18" s="115" customFormat="1" ht="40.5" customHeight="1">
      <c r="A154" s="580"/>
      <c r="B154" s="509" t="s">
        <v>1410</v>
      </c>
      <c r="C154" s="564"/>
      <c r="D154" s="564"/>
      <c r="E154" s="564"/>
      <c r="F154" s="474"/>
      <c r="G154" s="474"/>
      <c r="H154" s="474"/>
      <c r="I154" s="668"/>
      <c r="J154" s="668"/>
      <c r="K154" s="668"/>
      <c r="L154" s="425" t="s">
        <v>37</v>
      </c>
      <c r="M154" s="426" t="s">
        <v>35</v>
      </c>
      <c r="N154" s="530">
        <v>0</v>
      </c>
      <c r="O154" s="530">
        <v>0</v>
      </c>
      <c r="P154" s="530">
        <v>34133.300000000003</v>
      </c>
      <c r="Q154" s="530">
        <v>69395.199999999997</v>
      </c>
      <c r="R154" s="531">
        <v>0</v>
      </c>
    </row>
    <row r="155" spans="1:18" s="115" customFormat="1" ht="40.5" customHeight="1">
      <c r="A155" s="580"/>
      <c r="B155" s="509" t="s">
        <v>1411</v>
      </c>
      <c r="C155" s="564"/>
      <c r="D155" s="564"/>
      <c r="E155" s="564"/>
      <c r="F155" s="474"/>
      <c r="G155" s="474"/>
      <c r="H155" s="474"/>
      <c r="I155" s="669"/>
      <c r="J155" s="669"/>
      <c r="K155" s="669"/>
      <c r="L155" s="425" t="s">
        <v>37</v>
      </c>
      <c r="M155" s="426" t="s">
        <v>35</v>
      </c>
      <c r="N155" s="530">
        <v>0</v>
      </c>
      <c r="O155" s="530">
        <v>0</v>
      </c>
      <c r="P155" s="530">
        <v>6991.2</v>
      </c>
      <c r="Q155" s="532">
        <v>14213.5</v>
      </c>
      <c r="R155" s="531">
        <v>0</v>
      </c>
    </row>
    <row r="156" spans="1:18" s="115" customFormat="1" ht="60" customHeight="1">
      <c r="A156" s="580"/>
      <c r="B156" s="509" t="s">
        <v>1355</v>
      </c>
      <c r="C156" s="550"/>
      <c r="D156" s="550"/>
      <c r="E156" s="550"/>
      <c r="F156" s="462"/>
      <c r="G156" s="462"/>
      <c r="H156" s="462"/>
      <c r="I156" s="526" t="s">
        <v>1465</v>
      </c>
      <c r="J156" s="526" t="s">
        <v>68</v>
      </c>
      <c r="K156" s="526" t="s">
        <v>1466</v>
      </c>
      <c r="L156" s="425" t="s">
        <v>37</v>
      </c>
      <c r="M156" s="426" t="s">
        <v>23</v>
      </c>
      <c r="N156" s="530">
        <v>0</v>
      </c>
      <c r="O156" s="530">
        <v>0</v>
      </c>
      <c r="P156" s="530">
        <v>3500</v>
      </c>
      <c r="Q156" s="530">
        <v>0</v>
      </c>
      <c r="R156" s="531">
        <v>0</v>
      </c>
    </row>
    <row r="157" spans="1:18" s="115" customFormat="1" ht="60">
      <c r="A157" s="37" t="s">
        <v>619</v>
      </c>
      <c r="B157" s="467">
        <v>1034</v>
      </c>
      <c r="C157" s="37" t="s">
        <v>31</v>
      </c>
      <c r="D157" s="37" t="s">
        <v>31</v>
      </c>
      <c r="E157" s="37" t="s">
        <v>31</v>
      </c>
      <c r="F157" s="37" t="s">
        <v>31</v>
      </c>
      <c r="G157" s="37" t="s">
        <v>31</v>
      </c>
      <c r="H157" s="37" t="s">
        <v>31</v>
      </c>
      <c r="I157" s="37" t="s">
        <v>31</v>
      </c>
      <c r="J157" s="37" t="s">
        <v>31</v>
      </c>
      <c r="K157" s="37" t="s">
        <v>31</v>
      </c>
      <c r="L157" s="467" t="s">
        <v>40</v>
      </c>
      <c r="M157" s="511" t="s">
        <v>32</v>
      </c>
      <c r="N157" s="163">
        <f>SUM(N158:N174)</f>
        <v>66556.373000000021</v>
      </c>
      <c r="O157" s="163">
        <f>SUM(O158:O174)</f>
        <v>66372.648000000016</v>
      </c>
      <c r="P157" s="163">
        <f>SUM(P158:P174)</f>
        <v>54753.5815</v>
      </c>
      <c r="Q157" s="163">
        <f t="shared" ref="Q157:R157" si="19">SUM(Q158:Q174)</f>
        <v>4453</v>
      </c>
      <c r="R157" s="163">
        <f t="shared" si="19"/>
        <v>4627.8999999999996</v>
      </c>
    </row>
    <row r="158" spans="1:18" s="114" customFormat="1" ht="110.25" customHeight="1">
      <c r="A158" s="52" t="s">
        <v>827</v>
      </c>
      <c r="B158" s="447"/>
      <c r="C158" s="447" t="s">
        <v>56</v>
      </c>
      <c r="D158" s="447" t="s">
        <v>111</v>
      </c>
      <c r="E158" s="447" t="s">
        <v>57</v>
      </c>
      <c r="F158" s="447" t="s">
        <v>834</v>
      </c>
      <c r="G158" s="447" t="s">
        <v>112</v>
      </c>
      <c r="H158" s="447" t="s">
        <v>113</v>
      </c>
      <c r="I158" s="136" t="s">
        <v>1074</v>
      </c>
      <c r="J158" s="136" t="s">
        <v>68</v>
      </c>
      <c r="K158" s="187" t="s">
        <v>71</v>
      </c>
      <c r="L158" s="447" t="s">
        <v>40</v>
      </c>
      <c r="M158" s="506" t="s">
        <v>32</v>
      </c>
      <c r="N158" s="63">
        <f>5023.381+3176.974+965.5+531.218</f>
        <v>9697.0730000000003</v>
      </c>
      <c r="O158" s="63">
        <f>5023.381+3176.974+965.5+531.218</f>
        <v>9697.0730000000003</v>
      </c>
      <c r="P158" s="63">
        <f>18659.34+984.283/2+21.8+1851.8+450.6</f>
        <v>21475.681499999999</v>
      </c>
      <c r="Q158" s="63">
        <v>2634.6</v>
      </c>
      <c r="R158" s="63">
        <v>2809.5</v>
      </c>
    </row>
    <row r="159" spans="1:18" s="114" customFormat="1" ht="119.25" customHeight="1">
      <c r="A159" s="45"/>
      <c r="B159" s="459"/>
      <c r="C159" s="459" t="s">
        <v>457</v>
      </c>
      <c r="D159" s="459" t="s">
        <v>528</v>
      </c>
      <c r="E159" s="459" t="s">
        <v>458</v>
      </c>
      <c r="F159" s="459"/>
      <c r="G159" s="459"/>
      <c r="H159" s="459"/>
      <c r="I159" s="521" t="s">
        <v>1290</v>
      </c>
      <c r="J159" s="521" t="s">
        <v>68</v>
      </c>
      <c r="K159" s="9" t="s">
        <v>441</v>
      </c>
      <c r="L159" s="459"/>
      <c r="M159" s="507"/>
      <c r="N159" s="47"/>
      <c r="O159" s="47"/>
      <c r="P159" s="47"/>
      <c r="Q159" s="47"/>
      <c r="R159" s="47"/>
    </row>
    <row r="160" spans="1:18" s="114" customFormat="1" ht="37.5" customHeight="1">
      <c r="A160" s="45"/>
      <c r="B160" s="459"/>
      <c r="C160" s="459"/>
      <c r="D160" s="459"/>
      <c r="E160" s="459"/>
      <c r="F160" s="459"/>
      <c r="G160" s="459"/>
      <c r="H160" s="459"/>
      <c r="I160" s="521" t="s">
        <v>491</v>
      </c>
      <c r="J160" s="521" t="s">
        <v>68</v>
      </c>
      <c r="K160" s="9" t="s">
        <v>492</v>
      </c>
      <c r="L160" s="459"/>
      <c r="M160" s="507"/>
      <c r="N160" s="47"/>
      <c r="O160" s="47"/>
      <c r="P160" s="47"/>
      <c r="Q160" s="47"/>
      <c r="R160" s="47"/>
    </row>
    <row r="161" spans="1:18" s="114" customFormat="1" ht="71.25" customHeight="1">
      <c r="A161" s="45"/>
      <c r="B161" s="459"/>
      <c r="C161" s="459"/>
      <c r="D161" s="459"/>
      <c r="E161" s="459"/>
      <c r="F161" s="459"/>
      <c r="G161" s="459"/>
      <c r="H161" s="459"/>
      <c r="I161" s="7" t="s">
        <v>442</v>
      </c>
      <c r="J161" s="521" t="s">
        <v>68</v>
      </c>
      <c r="K161" s="9" t="s">
        <v>443</v>
      </c>
      <c r="L161" s="459"/>
      <c r="M161" s="459"/>
      <c r="N161" s="53"/>
      <c r="O161" s="53"/>
      <c r="P161" s="53"/>
      <c r="Q161" s="53"/>
      <c r="R161" s="171"/>
    </row>
    <row r="162" spans="1:18" s="114" customFormat="1" ht="108.75" hidden="1" customHeight="1">
      <c r="A162" s="45"/>
      <c r="B162" s="459"/>
      <c r="C162" s="45"/>
      <c r="D162" s="45"/>
      <c r="E162" s="45"/>
      <c r="F162" s="45"/>
      <c r="G162" s="45"/>
      <c r="H162" s="45"/>
      <c r="I162" s="7" t="s">
        <v>114</v>
      </c>
      <c r="J162" s="7" t="s">
        <v>68</v>
      </c>
      <c r="K162" s="8" t="s">
        <v>115</v>
      </c>
      <c r="L162" s="459" t="s">
        <v>40</v>
      </c>
      <c r="M162" s="459" t="s">
        <v>32</v>
      </c>
      <c r="N162" s="53">
        <v>0</v>
      </c>
      <c r="O162" s="53"/>
      <c r="P162" s="53"/>
      <c r="Q162" s="53"/>
      <c r="R162" s="171"/>
    </row>
    <row r="163" spans="1:18" s="114" customFormat="1" ht="96">
      <c r="A163" s="45"/>
      <c r="B163" s="459"/>
      <c r="C163" s="45"/>
      <c r="D163" s="45"/>
      <c r="E163" s="45"/>
      <c r="F163" s="45"/>
      <c r="G163" s="45"/>
      <c r="H163" s="45"/>
      <c r="I163" s="7" t="s">
        <v>1291</v>
      </c>
      <c r="J163" s="521" t="s">
        <v>68</v>
      </c>
      <c r="K163" s="9" t="s">
        <v>422</v>
      </c>
      <c r="L163" s="459"/>
      <c r="M163" s="459"/>
      <c r="N163" s="53"/>
      <c r="O163" s="53"/>
      <c r="P163" s="53"/>
      <c r="Q163" s="53"/>
      <c r="R163" s="171"/>
    </row>
    <row r="164" spans="1:18" s="114" customFormat="1" ht="48" customHeight="1">
      <c r="A164" s="48"/>
      <c r="B164" s="459"/>
      <c r="C164" s="45"/>
      <c r="D164" s="45"/>
      <c r="E164" s="45"/>
      <c r="F164" s="417"/>
      <c r="G164" s="45"/>
      <c r="H164" s="418"/>
      <c r="I164" s="521" t="s">
        <v>91</v>
      </c>
      <c r="J164" s="521" t="s">
        <v>68</v>
      </c>
      <c r="K164" s="9" t="s">
        <v>71</v>
      </c>
      <c r="L164" s="448"/>
      <c r="M164" s="146"/>
      <c r="N164" s="64"/>
      <c r="O164" s="64"/>
      <c r="P164" s="64"/>
      <c r="Q164" s="64"/>
      <c r="R164" s="64"/>
    </row>
    <row r="165" spans="1:18" s="114" customFormat="1" ht="98.25" customHeight="1">
      <c r="A165" s="52" t="s">
        <v>828</v>
      </c>
      <c r="B165" s="459">
        <v>684</v>
      </c>
      <c r="C165" s="45"/>
      <c r="D165" s="45"/>
      <c r="E165" s="45"/>
      <c r="F165" s="419" t="s">
        <v>1287</v>
      </c>
      <c r="G165" s="459" t="s">
        <v>1288</v>
      </c>
      <c r="H165" s="474" t="s">
        <v>1345</v>
      </c>
      <c r="I165" s="453" t="s">
        <v>1439</v>
      </c>
      <c r="J165" s="453" t="s">
        <v>68</v>
      </c>
      <c r="K165" s="453" t="s">
        <v>1238</v>
      </c>
      <c r="L165" s="447" t="s">
        <v>40</v>
      </c>
      <c r="M165" s="506" t="s">
        <v>32</v>
      </c>
      <c r="N165" s="63">
        <v>45154.3</v>
      </c>
      <c r="O165" s="63">
        <v>45154.3</v>
      </c>
      <c r="P165" s="63">
        <v>31459.5</v>
      </c>
      <c r="Q165" s="63">
        <v>0</v>
      </c>
      <c r="R165" s="63">
        <v>0</v>
      </c>
    </row>
    <row r="166" spans="1:18" s="114" customFormat="1" ht="84" customHeight="1">
      <c r="A166" s="52" t="s">
        <v>829</v>
      </c>
      <c r="B166" s="459">
        <v>566</v>
      </c>
      <c r="C166" s="45"/>
      <c r="D166" s="45"/>
      <c r="E166" s="45"/>
      <c r="F166" s="419" t="s">
        <v>1287</v>
      </c>
      <c r="G166" s="459" t="s">
        <v>1289</v>
      </c>
      <c r="H166" s="474" t="s">
        <v>1345</v>
      </c>
      <c r="I166" s="474" t="s">
        <v>1454</v>
      </c>
      <c r="J166" s="474" t="s">
        <v>68</v>
      </c>
      <c r="K166" s="474" t="s">
        <v>1455</v>
      </c>
      <c r="L166" s="447" t="s">
        <v>40</v>
      </c>
      <c r="M166" s="506" t="s">
        <v>32</v>
      </c>
      <c r="N166" s="63">
        <v>1547.9</v>
      </c>
      <c r="O166" s="63">
        <v>1364.2750000000001</v>
      </c>
      <c r="P166" s="63">
        <v>1818.4</v>
      </c>
      <c r="Q166" s="63">
        <v>1818.4</v>
      </c>
      <c r="R166" s="63">
        <v>1818.4</v>
      </c>
    </row>
    <row r="167" spans="1:18" s="114" customFormat="1" ht="60.75" customHeight="1">
      <c r="A167" s="479" t="s">
        <v>1125</v>
      </c>
      <c r="B167" s="75" t="s">
        <v>947</v>
      </c>
      <c r="C167" s="45"/>
      <c r="D167" s="45"/>
      <c r="E167" s="45"/>
      <c r="F167" s="419" t="s">
        <v>1287</v>
      </c>
      <c r="G167" s="459" t="s">
        <v>1274</v>
      </c>
      <c r="H167" s="474" t="s">
        <v>1345</v>
      </c>
      <c r="I167" s="353" t="s">
        <v>969</v>
      </c>
      <c r="J167" s="474" t="s">
        <v>68</v>
      </c>
      <c r="K167" s="474" t="s">
        <v>970</v>
      </c>
      <c r="L167" s="508" t="s">
        <v>40</v>
      </c>
      <c r="M167" s="156" t="s">
        <v>32</v>
      </c>
      <c r="N167" s="63">
        <v>5600</v>
      </c>
      <c r="O167" s="63">
        <v>5600</v>
      </c>
      <c r="P167" s="63">
        <v>0</v>
      </c>
      <c r="Q167" s="63">
        <v>0</v>
      </c>
      <c r="R167" s="63">
        <v>0</v>
      </c>
    </row>
    <row r="168" spans="1:18" s="114" customFormat="1" ht="60.75" customHeight="1">
      <c r="A168" s="479" t="s">
        <v>1126</v>
      </c>
      <c r="B168" s="519" t="s">
        <v>1086</v>
      </c>
      <c r="C168" s="54"/>
      <c r="D168" s="54"/>
      <c r="E168" s="54"/>
      <c r="F168" s="520"/>
      <c r="G168" s="520"/>
      <c r="H168" s="520"/>
      <c r="I168" s="520" t="s">
        <v>1110</v>
      </c>
      <c r="J168" s="520" t="s">
        <v>68</v>
      </c>
      <c r="K168" s="520" t="s">
        <v>1111</v>
      </c>
      <c r="L168" s="367" t="s">
        <v>40</v>
      </c>
      <c r="M168" s="367" t="s">
        <v>32</v>
      </c>
      <c r="N168" s="63">
        <v>4034.5</v>
      </c>
      <c r="O168" s="63">
        <v>4034.5</v>
      </c>
      <c r="P168" s="63">
        <v>0</v>
      </c>
      <c r="Q168" s="63">
        <v>0</v>
      </c>
      <c r="R168" s="63">
        <v>0</v>
      </c>
    </row>
    <row r="169" spans="1:18" s="114" customFormat="1" ht="48" customHeight="1">
      <c r="A169" s="546" t="s">
        <v>1127</v>
      </c>
      <c r="B169" s="519" t="s">
        <v>562</v>
      </c>
      <c r="C169" s="54"/>
      <c r="D169" s="54"/>
      <c r="E169" s="54"/>
      <c r="F169" s="665" t="s">
        <v>522</v>
      </c>
      <c r="G169" s="464" t="s">
        <v>835</v>
      </c>
      <c r="H169" s="464" t="s">
        <v>523</v>
      </c>
      <c r="I169" s="188" t="s">
        <v>874</v>
      </c>
      <c r="J169" s="449" t="s">
        <v>68</v>
      </c>
      <c r="K169" s="450" t="s">
        <v>875</v>
      </c>
      <c r="L169" s="73" t="s">
        <v>40</v>
      </c>
      <c r="M169" s="73" t="s">
        <v>32</v>
      </c>
      <c r="N169" s="63">
        <v>99</v>
      </c>
      <c r="O169" s="63">
        <v>99</v>
      </c>
      <c r="P169" s="63">
        <v>0</v>
      </c>
      <c r="Q169" s="63">
        <v>0</v>
      </c>
      <c r="R169" s="63">
        <v>0</v>
      </c>
    </row>
    <row r="170" spans="1:18" s="114" customFormat="1" ht="48" customHeight="1">
      <c r="A170" s="546"/>
      <c r="B170" s="519" t="s">
        <v>895</v>
      </c>
      <c r="C170" s="54"/>
      <c r="D170" s="54"/>
      <c r="E170" s="54"/>
      <c r="F170" s="665"/>
      <c r="G170" s="464"/>
      <c r="H170" s="464"/>
      <c r="I170" s="188" t="s">
        <v>944</v>
      </c>
      <c r="J170" s="449" t="s">
        <v>68</v>
      </c>
      <c r="K170" s="450" t="s">
        <v>945</v>
      </c>
      <c r="L170" s="73" t="s">
        <v>40</v>
      </c>
      <c r="M170" s="73" t="s">
        <v>32</v>
      </c>
      <c r="N170" s="63">
        <v>90</v>
      </c>
      <c r="O170" s="63">
        <v>90</v>
      </c>
      <c r="P170" s="63">
        <v>0</v>
      </c>
      <c r="Q170" s="63">
        <v>0</v>
      </c>
      <c r="R170" s="63">
        <v>0</v>
      </c>
    </row>
    <row r="171" spans="1:18" s="114" customFormat="1" ht="60">
      <c r="A171" s="546"/>
      <c r="B171" s="519" t="s">
        <v>563</v>
      </c>
      <c r="C171" s="54"/>
      <c r="D171" s="54"/>
      <c r="E171" s="54"/>
      <c r="F171" s="665"/>
      <c r="G171" s="464"/>
      <c r="H171" s="464"/>
      <c r="I171" s="188" t="s">
        <v>942</v>
      </c>
      <c r="J171" s="449" t="s">
        <v>68</v>
      </c>
      <c r="K171" s="450" t="s">
        <v>943</v>
      </c>
      <c r="L171" s="73" t="s">
        <v>40</v>
      </c>
      <c r="M171" s="73" t="s">
        <v>32</v>
      </c>
      <c r="N171" s="63">
        <v>90</v>
      </c>
      <c r="O171" s="63">
        <v>90</v>
      </c>
      <c r="P171" s="63">
        <v>0</v>
      </c>
      <c r="Q171" s="63">
        <v>0</v>
      </c>
      <c r="R171" s="63">
        <v>0</v>
      </c>
    </row>
    <row r="172" spans="1:18" s="114" customFormat="1" ht="48.75" customHeight="1">
      <c r="A172" s="546"/>
      <c r="B172" s="519" t="s">
        <v>488</v>
      </c>
      <c r="C172" s="54"/>
      <c r="D172" s="54"/>
      <c r="E172" s="54"/>
      <c r="F172" s="665"/>
      <c r="G172" s="464"/>
      <c r="H172" s="464"/>
      <c r="I172" s="188" t="s">
        <v>966</v>
      </c>
      <c r="J172" s="449" t="s">
        <v>68</v>
      </c>
      <c r="K172" s="450" t="s">
        <v>967</v>
      </c>
      <c r="L172" s="73" t="s">
        <v>40</v>
      </c>
      <c r="M172" s="73" t="s">
        <v>32</v>
      </c>
      <c r="N172" s="63">
        <v>156.6</v>
      </c>
      <c r="O172" s="63">
        <v>156.5</v>
      </c>
      <c r="P172" s="63">
        <v>0</v>
      </c>
      <c r="Q172" s="63">
        <v>0</v>
      </c>
      <c r="R172" s="63">
        <v>0</v>
      </c>
    </row>
    <row r="173" spans="1:18" s="114" customFormat="1" ht="60" customHeight="1">
      <c r="A173" s="546"/>
      <c r="B173" s="519" t="s">
        <v>494</v>
      </c>
      <c r="C173" s="54"/>
      <c r="D173" s="54"/>
      <c r="E173" s="54"/>
      <c r="F173" s="665"/>
      <c r="G173" s="464"/>
      <c r="H173" s="464"/>
      <c r="I173" s="449" t="s">
        <v>1044</v>
      </c>
      <c r="J173" s="449" t="s">
        <v>68</v>
      </c>
      <c r="K173" s="450" t="s">
        <v>1045</v>
      </c>
      <c r="L173" s="100" t="s">
        <v>40</v>
      </c>
      <c r="M173" s="100" t="s">
        <v>32</v>
      </c>
      <c r="N173" s="105">
        <v>45</v>
      </c>
      <c r="O173" s="105">
        <v>45</v>
      </c>
      <c r="P173" s="105">
        <v>0</v>
      </c>
      <c r="Q173" s="105">
        <v>0</v>
      </c>
      <c r="R173" s="105">
        <v>0</v>
      </c>
    </row>
    <row r="174" spans="1:18" s="114" customFormat="1" ht="48.75" customHeight="1">
      <c r="A174" s="546"/>
      <c r="B174" s="519" t="s">
        <v>495</v>
      </c>
      <c r="C174" s="54"/>
      <c r="D174" s="54"/>
      <c r="E174" s="54"/>
      <c r="F174" s="665"/>
      <c r="G174" s="464"/>
      <c r="H174" s="464"/>
      <c r="I174" s="449" t="s">
        <v>1035</v>
      </c>
      <c r="J174" s="449" t="s">
        <v>68</v>
      </c>
      <c r="K174" s="450" t="s">
        <v>1019</v>
      </c>
      <c r="L174" s="100" t="s">
        <v>40</v>
      </c>
      <c r="M174" s="100" t="s">
        <v>32</v>
      </c>
      <c r="N174" s="105">
        <v>42</v>
      </c>
      <c r="O174" s="105">
        <v>42</v>
      </c>
      <c r="P174" s="105">
        <v>0</v>
      </c>
      <c r="Q174" s="105">
        <v>0</v>
      </c>
      <c r="R174" s="105">
        <v>0</v>
      </c>
    </row>
    <row r="175" spans="1:18" s="115" customFormat="1" ht="94.5" hidden="1" customHeight="1">
      <c r="A175" s="566" t="s">
        <v>620</v>
      </c>
      <c r="B175" s="495">
        <v>1035</v>
      </c>
      <c r="C175" s="549" t="s">
        <v>56</v>
      </c>
      <c r="D175" s="549" t="s">
        <v>357</v>
      </c>
      <c r="E175" s="549" t="s">
        <v>57</v>
      </c>
      <c r="F175" s="572" t="s">
        <v>31</v>
      </c>
      <c r="G175" s="650" t="s">
        <v>31</v>
      </c>
      <c r="H175" s="598" t="s">
        <v>31</v>
      </c>
      <c r="I175" s="498" t="s">
        <v>358</v>
      </c>
      <c r="J175" s="498" t="s">
        <v>202</v>
      </c>
      <c r="K175" s="298" t="s">
        <v>333</v>
      </c>
      <c r="L175" s="467" t="s">
        <v>40</v>
      </c>
      <c r="M175" s="467" t="s">
        <v>32</v>
      </c>
      <c r="N175" s="38">
        <f>SUM(N176:N177)</f>
        <v>0</v>
      </c>
      <c r="O175" s="38">
        <f>SUM(O176:O177)</f>
        <v>0</v>
      </c>
      <c r="P175" s="38">
        <f>SUM(P176:P177)</f>
        <v>0</v>
      </c>
      <c r="Q175" s="38">
        <f>SUM(Q176:Q177)</f>
        <v>0</v>
      </c>
      <c r="R175" s="38">
        <f>SUM(R176:R177)</f>
        <v>0</v>
      </c>
    </row>
    <row r="176" spans="1:18" s="115" customFormat="1" ht="62.25" hidden="1" customHeight="1">
      <c r="A176" s="580"/>
      <c r="B176" s="459" t="s">
        <v>727</v>
      </c>
      <c r="C176" s="564"/>
      <c r="D176" s="564"/>
      <c r="E176" s="564"/>
      <c r="F176" s="573"/>
      <c r="G176" s="651"/>
      <c r="H176" s="599"/>
      <c r="I176" s="299" t="s">
        <v>572</v>
      </c>
      <c r="J176" s="299" t="s">
        <v>68</v>
      </c>
      <c r="K176" s="300" t="s">
        <v>573</v>
      </c>
      <c r="L176" s="573"/>
      <c r="M176" s="573"/>
      <c r="N176" s="53"/>
      <c r="O176" s="53"/>
      <c r="P176" s="53">
        <v>0</v>
      </c>
      <c r="Q176" s="53">
        <v>0</v>
      </c>
      <c r="R176" s="53">
        <v>0</v>
      </c>
    </row>
    <row r="177" spans="1:18" s="115" customFormat="1" ht="84" hidden="1">
      <c r="A177" s="580"/>
      <c r="B177" s="473"/>
      <c r="C177" s="564"/>
      <c r="D177" s="564"/>
      <c r="E177" s="564"/>
      <c r="F177" s="573"/>
      <c r="G177" s="651"/>
      <c r="H177" s="599"/>
      <c r="I177" s="7" t="s">
        <v>836</v>
      </c>
      <c r="J177" s="7" t="s">
        <v>68</v>
      </c>
      <c r="K177" s="8" t="s">
        <v>422</v>
      </c>
      <c r="L177" s="573"/>
      <c r="M177" s="573"/>
      <c r="N177" s="53"/>
      <c r="O177" s="53"/>
      <c r="P177" s="53">
        <v>0</v>
      </c>
      <c r="Q177" s="53">
        <v>0</v>
      </c>
      <c r="R177" s="53">
        <v>0</v>
      </c>
    </row>
    <row r="178" spans="1:18" s="115" customFormat="1" ht="13.5" customHeight="1">
      <c r="A178" s="566" t="s">
        <v>980</v>
      </c>
      <c r="B178" s="40">
        <v>1036</v>
      </c>
      <c r="C178" s="488"/>
      <c r="D178" s="488"/>
      <c r="E178" s="488"/>
      <c r="F178" s="40"/>
      <c r="G178" s="40"/>
      <c r="H178" s="40"/>
      <c r="I178" s="355"/>
      <c r="J178" s="355"/>
      <c r="K178" s="356"/>
      <c r="L178" s="40"/>
      <c r="M178" s="40"/>
      <c r="N178" s="242">
        <f>SUM(N179:N180)</f>
        <v>2358</v>
      </c>
      <c r="O178" s="242">
        <f>SUM(O179:O180)</f>
        <v>1700</v>
      </c>
      <c r="P178" s="242">
        <f>SUM(P179:P180)</f>
        <v>654.66099999999994</v>
      </c>
      <c r="Q178" s="242">
        <f t="shared" ref="Q178:R178" si="20">SUM(Q179:Q180)</f>
        <v>0</v>
      </c>
      <c r="R178" s="242">
        <f t="shared" si="20"/>
        <v>0</v>
      </c>
    </row>
    <row r="179" spans="1:18" s="115" customFormat="1" ht="48" customHeight="1">
      <c r="A179" s="580"/>
      <c r="B179" s="447" t="s">
        <v>987</v>
      </c>
      <c r="C179" s="447"/>
      <c r="D179" s="447"/>
      <c r="E179" s="447"/>
      <c r="F179" s="447"/>
      <c r="G179" s="447"/>
      <c r="H179" s="447"/>
      <c r="I179" s="547" t="s">
        <v>1053</v>
      </c>
      <c r="J179" s="549" t="s">
        <v>74</v>
      </c>
      <c r="K179" s="549" t="s">
        <v>1054</v>
      </c>
      <c r="L179" s="234" t="s">
        <v>40</v>
      </c>
      <c r="M179" s="234" t="s">
        <v>32</v>
      </c>
      <c r="N179" s="243">
        <v>1530</v>
      </c>
      <c r="O179" s="243">
        <v>1530</v>
      </c>
      <c r="P179" s="243">
        <v>0</v>
      </c>
      <c r="Q179" s="243">
        <v>0</v>
      </c>
      <c r="R179" s="243">
        <v>0</v>
      </c>
    </row>
    <row r="180" spans="1:18" s="115" customFormat="1" ht="98.25" customHeight="1">
      <c r="A180" s="567"/>
      <c r="B180" s="448" t="s">
        <v>988</v>
      </c>
      <c r="C180" s="448"/>
      <c r="D180" s="448"/>
      <c r="E180" s="448"/>
      <c r="F180" s="448"/>
      <c r="G180" s="448"/>
      <c r="H180" s="448"/>
      <c r="I180" s="548"/>
      <c r="J180" s="550"/>
      <c r="K180" s="550"/>
      <c r="L180" s="234" t="s">
        <v>40</v>
      </c>
      <c r="M180" s="234" t="s">
        <v>32</v>
      </c>
      <c r="N180" s="243">
        <v>828</v>
      </c>
      <c r="O180" s="243">
        <v>170</v>
      </c>
      <c r="P180" s="243">
        <v>654.66099999999994</v>
      </c>
      <c r="Q180" s="243">
        <v>0</v>
      </c>
      <c r="R180" s="243">
        <v>0</v>
      </c>
    </row>
    <row r="181" spans="1:18" s="115" customFormat="1" ht="36" customHeight="1">
      <c r="A181" s="451" t="s">
        <v>621</v>
      </c>
      <c r="B181" s="467">
        <v>1040</v>
      </c>
      <c r="C181" s="447"/>
      <c r="D181" s="447"/>
      <c r="E181" s="447"/>
      <c r="F181" s="467"/>
      <c r="G181" s="467"/>
      <c r="H181" s="467"/>
      <c r="I181" s="446"/>
      <c r="J181" s="446"/>
      <c r="K181" s="244"/>
      <c r="L181" s="467"/>
      <c r="M181" s="467"/>
      <c r="N181" s="38">
        <f>SUM(N182)</f>
        <v>827.76700000000005</v>
      </c>
      <c r="O181" s="38">
        <f>SUM(O182)</f>
        <v>825.83299999999997</v>
      </c>
      <c r="P181" s="38">
        <f>SUM(P182)</f>
        <v>1000</v>
      </c>
      <c r="Q181" s="38">
        <f t="shared" ref="Q181:R181" si="21">SUM(Q182)</f>
        <v>500</v>
      </c>
      <c r="R181" s="38">
        <f t="shared" si="21"/>
        <v>1000</v>
      </c>
    </row>
    <row r="182" spans="1:18" s="114" customFormat="1" ht="84.75" customHeight="1">
      <c r="A182" s="99" t="s">
        <v>783</v>
      </c>
      <c r="B182" s="491"/>
      <c r="C182" s="491" t="s">
        <v>784</v>
      </c>
      <c r="D182" s="491" t="s">
        <v>93</v>
      </c>
      <c r="E182" s="491" t="s">
        <v>94</v>
      </c>
      <c r="F182" s="491"/>
      <c r="G182" s="99"/>
      <c r="H182" s="99"/>
      <c r="I182" s="472" t="s">
        <v>785</v>
      </c>
      <c r="J182" s="472" t="s">
        <v>786</v>
      </c>
      <c r="K182" s="184" t="s">
        <v>90</v>
      </c>
      <c r="L182" s="491" t="s">
        <v>37</v>
      </c>
      <c r="M182" s="491" t="s">
        <v>33</v>
      </c>
      <c r="N182" s="105">
        <v>827.76700000000005</v>
      </c>
      <c r="O182" s="105">
        <v>825.83299999999997</v>
      </c>
      <c r="P182" s="105">
        <v>1000</v>
      </c>
      <c r="Q182" s="105">
        <v>500</v>
      </c>
      <c r="R182" s="105">
        <v>1000</v>
      </c>
    </row>
    <row r="183" spans="1:18" s="115" customFormat="1" ht="36">
      <c r="A183" s="55" t="s">
        <v>622</v>
      </c>
      <c r="B183" s="468">
        <v>1041</v>
      </c>
      <c r="C183" s="55"/>
      <c r="D183" s="55"/>
      <c r="E183" s="55"/>
      <c r="F183" s="55"/>
      <c r="G183" s="55"/>
      <c r="H183" s="55"/>
      <c r="I183" s="55"/>
      <c r="J183" s="55"/>
      <c r="K183" s="55"/>
      <c r="L183" s="468"/>
      <c r="M183" s="512"/>
      <c r="N183" s="245">
        <f>N184</f>
        <v>263.44200000000001</v>
      </c>
      <c r="O183" s="245">
        <f>O184</f>
        <v>216.988</v>
      </c>
      <c r="P183" s="245">
        <f>SUM(P184:P188)</f>
        <v>355</v>
      </c>
      <c r="Q183" s="245">
        <f t="shared" ref="Q183:R183" si="22">SUM(Q184:Q188)</f>
        <v>355</v>
      </c>
      <c r="R183" s="245">
        <f t="shared" si="22"/>
        <v>355</v>
      </c>
    </row>
    <row r="184" spans="1:18" s="114" customFormat="1" ht="85.5" customHeight="1">
      <c r="A184" s="52" t="s">
        <v>787</v>
      </c>
      <c r="B184" s="447"/>
      <c r="C184" s="477" t="s">
        <v>56</v>
      </c>
      <c r="D184" s="477" t="s">
        <v>117</v>
      </c>
      <c r="E184" s="477" t="s">
        <v>57</v>
      </c>
      <c r="F184" s="52" t="s">
        <v>31</v>
      </c>
      <c r="G184" s="52" t="s">
        <v>31</v>
      </c>
      <c r="H184" s="52" t="s">
        <v>31</v>
      </c>
      <c r="I184" s="136" t="s">
        <v>1069</v>
      </c>
      <c r="J184" s="136" t="s">
        <v>68</v>
      </c>
      <c r="K184" s="136" t="s">
        <v>118</v>
      </c>
      <c r="L184" s="640" t="s">
        <v>37</v>
      </c>
      <c r="M184" s="638" t="s">
        <v>35</v>
      </c>
      <c r="N184" s="167">
        <v>263.44200000000001</v>
      </c>
      <c r="O184" s="167">
        <v>216.988</v>
      </c>
      <c r="P184" s="167">
        <v>355</v>
      </c>
      <c r="Q184" s="167">
        <v>355</v>
      </c>
      <c r="R184" s="167">
        <v>355</v>
      </c>
    </row>
    <row r="185" spans="1:18" s="114" customFormat="1" ht="120" customHeight="1">
      <c r="A185" s="45"/>
      <c r="B185" s="459"/>
      <c r="C185" s="475"/>
      <c r="D185" s="475"/>
      <c r="E185" s="475"/>
      <c r="F185" s="45"/>
      <c r="G185" s="45"/>
      <c r="H185" s="45"/>
      <c r="I185" s="521" t="s">
        <v>1292</v>
      </c>
      <c r="J185" s="521" t="s">
        <v>68</v>
      </c>
      <c r="K185" s="521" t="s">
        <v>425</v>
      </c>
      <c r="L185" s="641"/>
      <c r="M185" s="639"/>
      <c r="N185" s="168"/>
      <c r="O185" s="168"/>
      <c r="P185" s="168"/>
      <c r="Q185" s="168"/>
      <c r="R185" s="168"/>
    </row>
    <row r="186" spans="1:18" s="114" customFormat="1" ht="71.25" customHeight="1">
      <c r="A186" s="45"/>
      <c r="B186" s="459"/>
      <c r="C186" s="475"/>
      <c r="D186" s="475"/>
      <c r="E186" s="475"/>
      <c r="F186" s="45"/>
      <c r="G186" s="45"/>
      <c r="H186" s="45"/>
      <c r="I186" s="521" t="s">
        <v>1293</v>
      </c>
      <c r="J186" s="521" t="s">
        <v>68</v>
      </c>
      <c r="K186" s="521" t="s">
        <v>541</v>
      </c>
      <c r="L186" s="75"/>
      <c r="M186" s="507"/>
      <c r="N186" s="168"/>
      <c r="O186" s="168"/>
      <c r="P186" s="168"/>
      <c r="Q186" s="168"/>
      <c r="R186" s="168"/>
    </row>
    <row r="187" spans="1:18" s="114" customFormat="1" ht="60">
      <c r="A187" s="45"/>
      <c r="B187" s="459"/>
      <c r="C187" s="475"/>
      <c r="D187" s="475"/>
      <c r="E187" s="475"/>
      <c r="F187" s="45"/>
      <c r="G187" s="45"/>
      <c r="H187" s="45"/>
      <c r="I187" s="453" t="s">
        <v>412</v>
      </c>
      <c r="J187" s="453" t="s">
        <v>68</v>
      </c>
      <c r="K187" s="453" t="s">
        <v>69</v>
      </c>
      <c r="L187" s="75"/>
      <c r="M187" s="459"/>
      <c r="N187" s="340"/>
      <c r="O187" s="340"/>
      <c r="P187" s="340"/>
      <c r="Q187" s="340"/>
      <c r="R187" s="340"/>
    </row>
    <row r="188" spans="1:18" s="114" customFormat="1" ht="12" hidden="1">
      <c r="A188" s="45"/>
      <c r="B188" s="509"/>
      <c r="C188" s="475"/>
      <c r="D188" s="475"/>
      <c r="E188" s="475"/>
      <c r="F188" s="45"/>
      <c r="G188" s="45"/>
      <c r="H188" s="45"/>
      <c r="I188" s="453"/>
      <c r="J188" s="453"/>
      <c r="K188" s="453"/>
      <c r="L188" s="75"/>
      <c r="M188" s="459"/>
      <c r="N188" s="340"/>
      <c r="O188" s="340"/>
      <c r="P188" s="340"/>
      <c r="Q188" s="340"/>
      <c r="R188" s="340"/>
    </row>
    <row r="189" spans="1:18" s="114" customFormat="1" ht="30.75" customHeight="1">
      <c r="A189" s="39" t="s">
        <v>624</v>
      </c>
      <c r="B189" s="176" t="s">
        <v>623</v>
      </c>
      <c r="C189" s="25"/>
      <c r="D189" s="25"/>
      <c r="E189" s="25"/>
      <c r="F189" s="25"/>
      <c r="G189" s="25"/>
      <c r="H189" s="246"/>
      <c r="I189" s="232"/>
      <c r="J189" s="232"/>
      <c r="K189" s="232"/>
      <c r="L189" s="488"/>
      <c r="M189" s="488"/>
      <c r="N189" s="247">
        <f>SUM(N190:N196)</f>
        <v>1086.626</v>
      </c>
      <c r="O189" s="247">
        <f>SUM(O190:O196)</f>
        <v>1086.626</v>
      </c>
      <c r="P189" s="247">
        <f>SUM(P190:P196)</f>
        <v>550</v>
      </c>
      <c r="Q189" s="247">
        <f t="shared" ref="Q189:R189" si="23">SUM(Q190:Q196)</f>
        <v>550</v>
      </c>
      <c r="R189" s="247">
        <f t="shared" si="23"/>
        <v>550</v>
      </c>
    </row>
    <row r="190" spans="1:18" s="114" customFormat="1" ht="142.5" customHeight="1">
      <c r="A190" s="45"/>
      <c r="B190" s="459"/>
      <c r="C190" s="477" t="s">
        <v>56</v>
      </c>
      <c r="D190" s="477" t="s">
        <v>117</v>
      </c>
      <c r="E190" s="477" t="s">
        <v>57</v>
      </c>
      <c r="F190" s="453" t="s">
        <v>1294</v>
      </c>
      <c r="G190" s="453" t="s">
        <v>1295</v>
      </c>
      <c r="H190" s="453" t="s">
        <v>1345</v>
      </c>
      <c r="I190" s="453" t="s">
        <v>788</v>
      </c>
      <c r="J190" s="453" t="s">
        <v>68</v>
      </c>
      <c r="K190" s="453" t="s">
        <v>119</v>
      </c>
      <c r="L190" s="75" t="s">
        <v>37</v>
      </c>
      <c r="M190" s="507">
        <v>12</v>
      </c>
      <c r="N190" s="168">
        <f>53.819+103.281</f>
        <v>157.10000000000002</v>
      </c>
      <c r="O190" s="168">
        <f>53.819+103.281</f>
        <v>157.10000000000002</v>
      </c>
      <c r="P190" s="168">
        <v>550</v>
      </c>
      <c r="Q190" s="168">
        <v>550</v>
      </c>
      <c r="R190" s="168">
        <v>550</v>
      </c>
    </row>
    <row r="191" spans="1:18" s="114" customFormat="1" ht="60" customHeight="1">
      <c r="A191" s="45"/>
      <c r="B191" s="459"/>
      <c r="C191" s="570"/>
      <c r="D191" s="570"/>
      <c r="E191" s="570"/>
      <c r="F191" s="181"/>
      <c r="G191" s="181"/>
      <c r="H191" s="181"/>
      <c r="I191" s="453" t="s">
        <v>1296</v>
      </c>
      <c r="J191" s="453" t="s">
        <v>68</v>
      </c>
      <c r="K191" s="453" t="s">
        <v>790</v>
      </c>
      <c r="L191" s="57"/>
      <c r="M191" s="507"/>
      <c r="N191" s="168"/>
      <c r="O191" s="168"/>
      <c r="P191" s="168"/>
      <c r="Q191" s="168"/>
      <c r="R191" s="168"/>
    </row>
    <row r="192" spans="1:18" s="114" customFormat="1" ht="84">
      <c r="A192" s="45"/>
      <c r="B192" s="459"/>
      <c r="C192" s="570"/>
      <c r="D192" s="570"/>
      <c r="E192" s="570"/>
      <c r="F192" s="181"/>
      <c r="G192" s="181"/>
      <c r="H192" s="181"/>
      <c r="I192" s="475" t="s">
        <v>1297</v>
      </c>
      <c r="J192" s="453" t="s">
        <v>68</v>
      </c>
      <c r="K192" s="453" t="s">
        <v>543</v>
      </c>
      <c r="L192" s="57"/>
      <c r="M192" s="507"/>
      <c r="N192" s="168"/>
      <c r="O192" s="168"/>
      <c r="P192" s="168"/>
      <c r="Q192" s="168"/>
      <c r="R192" s="168"/>
    </row>
    <row r="193" spans="1:18" s="114" customFormat="1" ht="72">
      <c r="A193" s="45"/>
      <c r="B193" s="459"/>
      <c r="C193" s="570"/>
      <c r="D193" s="570"/>
      <c r="E193" s="570"/>
      <c r="F193" s="181"/>
      <c r="G193" s="181"/>
      <c r="H193" s="181"/>
      <c r="I193" s="453" t="s">
        <v>120</v>
      </c>
      <c r="J193" s="453" t="s">
        <v>68</v>
      </c>
      <c r="K193" s="453" t="s">
        <v>121</v>
      </c>
      <c r="L193" s="57"/>
      <c r="M193" s="507"/>
      <c r="N193" s="168"/>
      <c r="O193" s="168"/>
      <c r="P193" s="168"/>
      <c r="Q193" s="168"/>
      <c r="R193" s="168"/>
    </row>
    <row r="194" spans="1:18" s="114" customFormat="1" ht="48">
      <c r="A194" s="45"/>
      <c r="B194" s="459"/>
      <c r="C194" s="475"/>
      <c r="D194" s="475"/>
      <c r="E194" s="475"/>
      <c r="F194" s="181"/>
      <c r="G194" s="181"/>
      <c r="H194" s="181"/>
      <c r="I194" s="453" t="s">
        <v>1298</v>
      </c>
      <c r="J194" s="453" t="s">
        <v>68</v>
      </c>
      <c r="K194" s="453" t="s">
        <v>789</v>
      </c>
      <c r="L194" s="57"/>
      <c r="M194" s="507"/>
      <c r="N194" s="168"/>
      <c r="O194" s="168"/>
      <c r="P194" s="168"/>
      <c r="Q194" s="168"/>
      <c r="R194" s="168"/>
    </row>
    <row r="195" spans="1:18" s="114" customFormat="1" ht="48">
      <c r="A195" s="45"/>
      <c r="B195" s="459"/>
      <c r="C195" s="475"/>
      <c r="D195" s="475"/>
      <c r="E195" s="475"/>
      <c r="F195" s="181"/>
      <c r="G195" s="181"/>
      <c r="H195" s="181"/>
      <c r="I195" s="453" t="s">
        <v>91</v>
      </c>
      <c r="J195" s="453" t="s">
        <v>68</v>
      </c>
      <c r="K195" s="453" t="s">
        <v>71</v>
      </c>
      <c r="L195" s="57"/>
      <c r="M195" s="507"/>
      <c r="N195" s="168"/>
      <c r="O195" s="168"/>
      <c r="P195" s="168"/>
      <c r="Q195" s="168"/>
      <c r="R195" s="168"/>
    </row>
    <row r="196" spans="1:18" s="114" customFormat="1" ht="60">
      <c r="A196" s="45"/>
      <c r="B196" s="509" t="s">
        <v>588</v>
      </c>
      <c r="C196" s="475"/>
      <c r="D196" s="475"/>
      <c r="E196" s="475"/>
      <c r="F196" s="475"/>
      <c r="G196" s="475"/>
      <c r="H196" s="475"/>
      <c r="I196" s="453" t="s">
        <v>963</v>
      </c>
      <c r="J196" s="453" t="s">
        <v>68</v>
      </c>
      <c r="K196" s="453" t="s">
        <v>964</v>
      </c>
      <c r="L196" s="459"/>
      <c r="M196" s="507"/>
      <c r="N196" s="168">
        <v>929.52599999999995</v>
      </c>
      <c r="O196" s="168">
        <v>929.52599999999995</v>
      </c>
      <c r="P196" s="168">
        <v>0</v>
      </c>
      <c r="Q196" s="168">
        <v>0</v>
      </c>
      <c r="R196" s="168">
        <v>0</v>
      </c>
    </row>
    <row r="197" spans="1:18" s="114" customFormat="1" ht="48" hidden="1">
      <c r="A197" s="39" t="s">
        <v>626</v>
      </c>
      <c r="B197" s="176" t="s">
        <v>625</v>
      </c>
      <c r="C197" s="25"/>
      <c r="D197" s="25"/>
      <c r="E197" s="25"/>
      <c r="F197" s="25"/>
      <c r="G197" s="25"/>
      <c r="H197" s="246"/>
      <c r="I197" s="232"/>
      <c r="J197" s="232"/>
      <c r="K197" s="232"/>
      <c r="L197" s="488"/>
      <c r="M197" s="488"/>
      <c r="N197" s="111"/>
      <c r="O197" s="111"/>
      <c r="P197" s="111"/>
      <c r="Q197" s="111"/>
      <c r="R197" s="248"/>
    </row>
    <row r="198" spans="1:18" s="114" customFormat="1" ht="48">
      <c r="A198" s="37" t="s">
        <v>628</v>
      </c>
      <c r="B198" s="457" t="s">
        <v>627</v>
      </c>
      <c r="C198" s="249"/>
      <c r="D198" s="249"/>
      <c r="E198" s="249"/>
      <c r="F198" s="249"/>
      <c r="G198" s="249"/>
      <c r="H198" s="250"/>
      <c r="I198" s="136"/>
      <c r="J198" s="136"/>
      <c r="K198" s="136"/>
      <c r="L198" s="447"/>
      <c r="M198" s="447"/>
      <c r="N198" s="251">
        <f>SUM(N200:N201)</f>
        <v>4231.6899999999996</v>
      </c>
      <c r="O198" s="251">
        <f>SUM(O200:O201)</f>
        <v>4231.6899999999996</v>
      </c>
      <c r="P198" s="251">
        <f>SUM(P200:P201)</f>
        <v>4818.5</v>
      </c>
      <c r="Q198" s="251">
        <f t="shared" ref="Q198:R198" si="24">SUM(Q200:Q201)</f>
        <v>11979.1</v>
      </c>
      <c r="R198" s="251">
        <f t="shared" si="24"/>
        <v>22748.2</v>
      </c>
    </row>
    <row r="199" spans="1:18" s="115" customFormat="1" ht="12">
      <c r="A199" s="39" t="s">
        <v>97</v>
      </c>
      <c r="B199" s="40"/>
      <c r="C199" s="39"/>
      <c r="D199" s="39"/>
      <c r="E199" s="39"/>
      <c r="F199" s="39"/>
      <c r="G199" s="39"/>
      <c r="H199" s="39"/>
      <c r="I199" s="39"/>
      <c r="J199" s="39"/>
      <c r="K199" s="39"/>
      <c r="L199" s="467"/>
      <c r="M199" s="511"/>
      <c r="N199" s="164"/>
      <c r="O199" s="164"/>
      <c r="P199" s="164"/>
      <c r="Q199" s="164"/>
      <c r="R199" s="164"/>
    </row>
    <row r="200" spans="1:18" s="116" customFormat="1" ht="12">
      <c r="A200" s="82"/>
      <c r="B200" s="44"/>
      <c r="C200" s="82"/>
      <c r="D200" s="82"/>
      <c r="E200" s="82"/>
      <c r="F200" s="82"/>
      <c r="G200" s="82"/>
      <c r="H200" s="82"/>
      <c r="I200" s="82"/>
      <c r="J200" s="82"/>
      <c r="K200" s="82"/>
      <c r="L200" s="83" t="s">
        <v>24</v>
      </c>
      <c r="M200" s="153" t="s">
        <v>32</v>
      </c>
      <c r="N200" s="166">
        <f>N202+N206</f>
        <v>3828.7</v>
      </c>
      <c r="O200" s="166">
        <f>O202+O206</f>
        <v>3828.7</v>
      </c>
      <c r="P200" s="166">
        <f>P202+P206</f>
        <v>4818.5</v>
      </c>
      <c r="Q200" s="166">
        <f>Q202+Q206+Q207</f>
        <v>11979.1</v>
      </c>
      <c r="R200" s="166">
        <f>R202+R206+R207</f>
        <v>22748.2</v>
      </c>
    </row>
    <row r="201" spans="1:18" s="116" customFormat="1" ht="12">
      <c r="A201" s="85"/>
      <c r="B201" s="119"/>
      <c r="C201" s="85"/>
      <c r="D201" s="85"/>
      <c r="E201" s="85"/>
      <c r="F201" s="85"/>
      <c r="G201" s="85"/>
      <c r="H201" s="85"/>
      <c r="I201" s="85"/>
      <c r="J201" s="85"/>
      <c r="K201" s="85"/>
      <c r="L201" s="87" t="s">
        <v>24</v>
      </c>
      <c r="M201" s="87" t="s">
        <v>41</v>
      </c>
      <c r="N201" s="86">
        <f>N204+N205</f>
        <v>402.99</v>
      </c>
      <c r="O201" s="86">
        <f>O204+O205</f>
        <v>402.99</v>
      </c>
      <c r="P201" s="86">
        <f>P204+P205</f>
        <v>0</v>
      </c>
      <c r="Q201" s="86">
        <f>Q204+Q205</f>
        <v>0</v>
      </c>
      <c r="R201" s="86">
        <f>R204+R205</f>
        <v>0</v>
      </c>
    </row>
    <row r="202" spans="1:18" s="114" customFormat="1" ht="120.75" customHeight="1">
      <c r="A202" s="545" t="s">
        <v>830</v>
      </c>
      <c r="B202" s="459"/>
      <c r="C202" s="452" t="s">
        <v>56</v>
      </c>
      <c r="D202" s="452" t="s">
        <v>127</v>
      </c>
      <c r="E202" s="452" t="s">
        <v>57</v>
      </c>
      <c r="F202" s="452" t="s">
        <v>462</v>
      </c>
      <c r="G202" s="452" t="s">
        <v>464</v>
      </c>
      <c r="H202" s="452" t="s">
        <v>463</v>
      </c>
      <c r="I202" s="452" t="s">
        <v>1299</v>
      </c>
      <c r="J202" s="452" t="s">
        <v>128</v>
      </c>
      <c r="K202" s="513" t="s">
        <v>129</v>
      </c>
      <c r="L202" s="519" t="s">
        <v>24</v>
      </c>
      <c r="M202" s="154" t="s">
        <v>32</v>
      </c>
      <c r="N202" s="89">
        <v>3828.7</v>
      </c>
      <c r="O202" s="89">
        <v>3828.7</v>
      </c>
      <c r="P202" s="89">
        <v>4818.5</v>
      </c>
      <c r="Q202" s="89">
        <v>4768.5</v>
      </c>
      <c r="R202" s="89">
        <v>4768.5</v>
      </c>
    </row>
    <row r="203" spans="1:18" s="114" customFormat="1" ht="48.75" customHeight="1">
      <c r="A203" s="545"/>
      <c r="B203" s="459"/>
      <c r="C203" s="453"/>
      <c r="D203" s="453"/>
      <c r="E203" s="453"/>
      <c r="F203" s="453"/>
      <c r="G203" s="453"/>
      <c r="H203" s="453"/>
      <c r="I203" s="453" t="s">
        <v>470</v>
      </c>
      <c r="J203" s="453" t="s">
        <v>68</v>
      </c>
      <c r="K203" s="453" t="s">
        <v>444</v>
      </c>
      <c r="L203" s="509"/>
      <c r="M203" s="149"/>
      <c r="N203" s="89"/>
      <c r="O203" s="89"/>
      <c r="P203" s="89"/>
      <c r="Q203" s="89"/>
      <c r="R203" s="89"/>
    </row>
    <row r="204" spans="1:18" s="114" customFormat="1" ht="84.75" customHeight="1">
      <c r="A204" s="545"/>
      <c r="B204" s="459"/>
      <c r="C204" s="459" t="s">
        <v>459</v>
      </c>
      <c r="D204" s="459" t="s">
        <v>460</v>
      </c>
      <c r="E204" s="459" t="s">
        <v>461</v>
      </c>
      <c r="F204" s="45"/>
      <c r="G204" s="45"/>
      <c r="H204" s="45"/>
      <c r="I204" s="459" t="s">
        <v>812</v>
      </c>
      <c r="J204" s="459" t="s">
        <v>68</v>
      </c>
      <c r="K204" s="507" t="s">
        <v>116</v>
      </c>
      <c r="L204" s="519" t="s">
        <v>24</v>
      </c>
      <c r="M204" s="154" t="s">
        <v>41</v>
      </c>
      <c r="N204" s="89">
        <v>19.190000000000001</v>
      </c>
      <c r="O204" s="89">
        <v>19.190000000000001</v>
      </c>
      <c r="P204" s="89">
        <v>0</v>
      </c>
      <c r="Q204" s="89">
        <v>0</v>
      </c>
      <c r="R204" s="89">
        <v>0</v>
      </c>
    </row>
    <row r="205" spans="1:18" s="114" customFormat="1" ht="108">
      <c r="A205" s="444" t="s">
        <v>1029</v>
      </c>
      <c r="B205" s="509" t="s">
        <v>985</v>
      </c>
      <c r="C205" s="45"/>
      <c r="D205" s="45"/>
      <c r="E205" s="45"/>
      <c r="F205" s="459" t="s">
        <v>1300</v>
      </c>
      <c r="G205" s="459" t="s">
        <v>1301</v>
      </c>
      <c r="H205" s="459" t="s">
        <v>1345</v>
      </c>
      <c r="I205" s="453" t="s">
        <v>1028</v>
      </c>
      <c r="J205" s="453" t="s">
        <v>68</v>
      </c>
      <c r="K205" s="476" t="s">
        <v>1030</v>
      </c>
      <c r="L205" s="100" t="s">
        <v>24</v>
      </c>
      <c r="M205" s="100" t="s">
        <v>41</v>
      </c>
      <c r="N205" s="125">
        <v>383.8</v>
      </c>
      <c r="O205" s="125">
        <v>383.8</v>
      </c>
      <c r="P205" s="125">
        <v>0</v>
      </c>
      <c r="Q205" s="125">
        <v>0</v>
      </c>
      <c r="R205" s="125">
        <v>0</v>
      </c>
    </row>
    <row r="206" spans="1:18" s="114" customFormat="1" ht="60">
      <c r="A206" s="45" t="s">
        <v>831</v>
      </c>
      <c r="B206" s="459">
        <v>567</v>
      </c>
      <c r="C206" s="45"/>
      <c r="D206" s="45"/>
      <c r="E206" s="45"/>
      <c r="F206" s="552" t="s">
        <v>1300</v>
      </c>
      <c r="G206" s="552" t="s">
        <v>1302</v>
      </c>
      <c r="H206" s="578" t="s">
        <v>1345</v>
      </c>
      <c r="I206" s="520" t="s">
        <v>1107</v>
      </c>
      <c r="J206" s="520" t="s">
        <v>68</v>
      </c>
      <c r="K206" s="520" t="s">
        <v>1108</v>
      </c>
      <c r="L206" s="497">
        <v>11</v>
      </c>
      <c r="M206" s="518" t="s">
        <v>32</v>
      </c>
      <c r="N206" s="88">
        <v>0</v>
      </c>
      <c r="O206" s="88">
        <v>0</v>
      </c>
      <c r="P206" s="88">
        <v>0</v>
      </c>
      <c r="Q206" s="88">
        <v>7210.6</v>
      </c>
      <c r="R206" s="88">
        <v>7210.6</v>
      </c>
    </row>
    <row r="207" spans="1:18" s="114" customFormat="1" ht="48.75" customHeight="1">
      <c r="A207" s="45"/>
      <c r="B207" s="459"/>
      <c r="C207" s="45"/>
      <c r="D207" s="45"/>
      <c r="E207" s="45"/>
      <c r="F207" s="552"/>
      <c r="G207" s="552"/>
      <c r="H207" s="578"/>
      <c r="I207" s="449" t="s">
        <v>91</v>
      </c>
      <c r="J207" s="441" t="s">
        <v>68</v>
      </c>
      <c r="K207" s="441" t="s">
        <v>71</v>
      </c>
      <c r="L207" s="501"/>
      <c r="M207" s="501"/>
      <c r="N207" s="107"/>
      <c r="O207" s="107"/>
      <c r="P207" s="107"/>
      <c r="Q207" s="107"/>
      <c r="R207" s="107">
        <v>10769.1</v>
      </c>
    </row>
    <row r="208" spans="1:18" s="115" customFormat="1" ht="48">
      <c r="A208" s="37" t="s">
        <v>629</v>
      </c>
      <c r="B208" s="467">
        <v>1047</v>
      </c>
      <c r="C208" s="37" t="s">
        <v>31</v>
      </c>
      <c r="D208" s="37" t="s">
        <v>31</v>
      </c>
      <c r="E208" s="37" t="s">
        <v>31</v>
      </c>
      <c r="F208" s="37" t="s">
        <v>31</v>
      </c>
      <c r="G208" s="37" t="s">
        <v>31</v>
      </c>
      <c r="H208" s="37" t="s">
        <v>31</v>
      </c>
      <c r="I208" s="37" t="s">
        <v>31</v>
      </c>
      <c r="J208" s="55" t="s">
        <v>31</v>
      </c>
      <c r="K208" s="55" t="s">
        <v>31</v>
      </c>
      <c r="L208" s="468"/>
      <c r="M208" s="512"/>
      <c r="N208" s="252">
        <f>SUM(N210:N212)</f>
        <v>11638.054999999998</v>
      </c>
      <c r="O208" s="252">
        <f>SUM(O210:O212)</f>
        <v>10836.497000000001</v>
      </c>
      <c r="P208" s="252">
        <f>SUM(P210:P212)</f>
        <v>12987.298000000001</v>
      </c>
      <c r="Q208" s="252">
        <f t="shared" ref="Q208:R208" si="25">SUM(Q210:Q212)</f>
        <v>135987.6</v>
      </c>
      <c r="R208" s="252">
        <f t="shared" si="25"/>
        <v>5527.7999999999993</v>
      </c>
    </row>
    <row r="209" spans="1:18" s="115" customFormat="1" ht="12">
      <c r="A209" s="39" t="s">
        <v>97</v>
      </c>
      <c r="B209" s="40"/>
      <c r="C209" s="39"/>
      <c r="D209" s="39"/>
      <c r="E209" s="39"/>
      <c r="F209" s="39"/>
      <c r="G209" s="39"/>
      <c r="H209" s="39"/>
      <c r="I209" s="39"/>
      <c r="J209" s="39"/>
      <c r="K209" s="39"/>
      <c r="L209" s="467"/>
      <c r="M209" s="511"/>
      <c r="N209" s="164"/>
      <c r="O209" s="164"/>
      <c r="P209" s="164"/>
      <c r="Q209" s="164"/>
      <c r="R209" s="164"/>
    </row>
    <row r="210" spans="1:18" s="116" customFormat="1" ht="12">
      <c r="A210" s="41"/>
      <c r="B210" s="42"/>
      <c r="C210" s="41"/>
      <c r="D210" s="41"/>
      <c r="E210" s="41"/>
      <c r="F210" s="41"/>
      <c r="G210" s="41"/>
      <c r="H210" s="41"/>
      <c r="I210" s="41"/>
      <c r="J210" s="41"/>
      <c r="K210" s="41"/>
      <c r="L210" s="83" t="s">
        <v>24</v>
      </c>
      <c r="M210" s="153" t="s">
        <v>32</v>
      </c>
      <c r="N210" s="166">
        <f>N213</f>
        <v>0</v>
      </c>
      <c r="O210" s="166">
        <f>O213</f>
        <v>0</v>
      </c>
      <c r="P210" s="166">
        <f>P213</f>
        <v>0</v>
      </c>
      <c r="Q210" s="166">
        <f t="shared" ref="Q210:R210" si="26">Q213</f>
        <v>0</v>
      </c>
      <c r="R210" s="166">
        <f t="shared" si="26"/>
        <v>0</v>
      </c>
    </row>
    <row r="211" spans="1:18" s="116" customFormat="1" ht="12">
      <c r="A211" s="82"/>
      <c r="B211" s="44"/>
      <c r="C211" s="82"/>
      <c r="D211" s="82"/>
      <c r="E211" s="82"/>
      <c r="F211" s="82"/>
      <c r="G211" s="82"/>
      <c r="H211" s="82"/>
      <c r="I211" s="82"/>
      <c r="J211" s="82"/>
      <c r="K211" s="82"/>
      <c r="L211" s="83" t="s">
        <v>24</v>
      </c>
      <c r="M211" s="153" t="s">
        <v>36</v>
      </c>
      <c r="N211" s="166">
        <f t="shared" ref="N211:O211" si="27">N215+N219+N220+N221+N222+N223+N224</f>
        <v>11407.789999999999</v>
      </c>
      <c r="O211" s="166">
        <f t="shared" si="27"/>
        <v>10606.232000000002</v>
      </c>
      <c r="P211" s="166">
        <f>P215+P219+P220+P221+P222+P223+P224+P225+P226+P227</f>
        <v>12820.598</v>
      </c>
      <c r="Q211" s="166">
        <f t="shared" ref="Q211:R211" si="28">Q215+Q219+Q220+Q221+Q222+Q223+Q224+Q225+Q226+Q227</f>
        <v>135765.20000000001</v>
      </c>
      <c r="R211" s="166">
        <f t="shared" si="28"/>
        <v>5305.4</v>
      </c>
    </row>
    <row r="212" spans="1:18" s="116" customFormat="1" ht="12">
      <c r="A212" s="85"/>
      <c r="B212" s="119"/>
      <c r="C212" s="85"/>
      <c r="D212" s="85"/>
      <c r="E212" s="85"/>
      <c r="F212" s="85"/>
      <c r="G212" s="85"/>
      <c r="H212" s="85"/>
      <c r="I212" s="85"/>
      <c r="J212" s="85"/>
      <c r="K212" s="85"/>
      <c r="L212" s="87" t="s">
        <v>24</v>
      </c>
      <c r="M212" s="147" t="s">
        <v>41</v>
      </c>
      <c r="N212" s="86">
        <f t="shared" ref="N212" si="29">N217+N218</f>
        <v>230.26500000000001</v>
      </c>
      <c r="O212" s="86">
        <f>O217+O218</f>
        <v>230.26500000000001</v>
      </c>
      <c r="P212" s="86">
        <f>P217+P218</f>
        <v>166.7</v>
      </c>
      <c r="Q212" s="86">
        <f t="shared" ref="Q212:R212" si="30">Q217+Q218</f>
        <v>222.39999999999998</v>
      </c>
      <c r="R212" s="86">
        <f t="shared" si="30"/>
        <v>222.39999999999998</v>
      </c>
    </row>
    <row r="213" spans="1:18" s="114" customFormat="1" ht="120.75" customHeight="1">
      <c r="A213" s="584"/>
      <c r="B213" s="459"/>
      <c r="C213" s="452" t="s">
        <v>56</v>
      </c>
      <c r="D213" s="452" t="s">
        <v>127</v>
      </c>
      <c r="E213" s="452" t="s">
        <v>57</v>
      </c>
      <c r="F213" s="452" t="s">
        <v>462</v>
      </c>
      <c r="G213" s="452" t="s">
        <v>464</v>
      </c>
      <c r="H213" s="452" t="s">
        <v>463</v>
      </c>
      <c r="I213" s="452" t="s">
        <v>1299</v>
      </c>
      <c r="J213" s="452" t="s">
        <v>128</v>
      </c>
      <c r="K213" s="513" t="s">
        <v>129</v>
      </c>
      <c r="L213" s="518" t="s">
        <v>24</v>
      </c>
      <c r="M213" s="480" t="s">
        <v>32</v>
      </c>
      <c r="N213" s="88"/>
      <c r="O213" s="88"/>
      <c r="P213" s="88"/>
      <c r="Q213" s="88"/>
      <c r="R213" s="88"/>
    </row>
    <row r="214" spans="1:18" s="114" customFormat="1" ht="60" customHeight="1">
      <c r="A214" s="545"/>
      <c r="B214" s="459"/>
      <c r="C214" s="459" t="s">
        <v>459</v>
      </c>
      <c r="D214" s="459" t="s">
        <v>460</v>
      </c>
      <c r="E214" s="459" t="s">
        <v>461</v>
      </c>
      <c r="F214" s="45"/>
      <c r="G214" s="45"/>
      <c r="H214" s="45"/>
      <c r="I214" s="521" t="s">
        <v>91</v>
      </c>
      <c r="J214" s="521" t="s">
        <v>68</v>
      </c>
      <c r="K214" s="521" t="s">
        <v>71</v>
      </c>
      <c r="L214" s="519"/>
      <c r="M214" s="154"/>
      <c r="N214" s="89"/>
      <c r="O214" s="89"/>
      <c r="P214" s="89"/>
      <c r="Q214" s="89"/>
      <c r="R214" s="89"/>
    </row>
    <row r="215" spans="1:18" s="114" customFormat="1" ht="119.25" customHeight="1">
      <c r="A215" s="444"/>
      <c r="B215" s="459"/>
      <c r="C215" s="45"/>
      <c r="D215" s="45"/>
      <c r="E215" s="45"/>
      <c r="F215" s="45"/>
      <c r="G215" s="45"/>
      <c r="H215" s="45"/>
      <c r="I215" s="459" t="s">
        <v>1304</v>
      </c>
      <c r="J215" s="45" t="s">
        <v>68</v>
      </c>
      <c r="K215" s="45" t="s">
        <v>126</v>
      </c>
      <c r="L215" s="447">
        <v>11</v>
      </c>
      <c r="M215" s="156" t="s">
        <v>36</v>
      </c>
      <c r="N215" s="125">
        <f>1380.086+1045.963+2299+2692.86</f>
        <v>7417.9089999999997</v>
      </c>
      <c r="O215" s="125">
        <f>1380.086+1045.963+1503+2687.35</f>
        <v>6616.3989999999994</v>
      </c>
      <c r="P215" s="125">
        <f>4968.5+467+815.506</f>
        <v>6251.0060000000003</v>
      </c>
      <c r="Q215" s="125">
        <v>3299</v>
      </c>
      <c r="R215" s="125">
        <f>746.5+3658.9</f>
        <v>4405.3999999999996</v>
      </c>
    </row>
    <row r="216" spans="1:18" s="114" customFormat="1" ht="145.5" customHeight="1">
      <c r="A216" s="444"/>
      <c r="B216" s="459"/>
      <c r="C216" s="45"/>
      <c r="D216" s="45"/>
      <c r="E216" s="45"/>
      <c r="F216" s="45"/>
      <c r="G216" s="45"/>
      <c r="H216" s="45"/>
      <c r="I216" s="476" t="s">
        <v>1024</v>
      </c>
      <c r="J216" s="452" t="s">
        <v>68</v>
      </c>
      <c r="K216" s="452" t="s">
        <v>446</v>
      </c>
      <c r="L216" s="508"/>
      <c r="M216" s="156"/>
      <c r="N216" s="125"/>
      <c r="O216" s="125"/>
      <c r="P216" s="125"/>
      <c r="Q216" s="125"/>
      <c r="R216" s="125"/>
    </row>
    <row r="217" spans="1:18" s="114" customFormat="1" ht="130.5" customHeight="1">
      <c r="A217" s="444"/>
      <c r="B217" s="509" t="s">
        <v>343</v>
      </c>
      <c r="C217" s="45"/>
      <c r="D217" s="45"/>
      <c r="E217" s="45"/>
      <c r="F217" s="552" t="s">
        <v>1300</v>
      </c>
      <c r="G217" s="552" t="s">
        <v>1303</v>
      </c>
      <c r="H217" s="578" t="s">
        <v>1345</v>
      </c>
      <c r="I217" s="552" t="s">
        <v>1396</v>
      </c>
      <c r="J217" s="453" t="s">
        <v>68</v>
      </c>
      <c r="K217" s="476" t="s">
        <v>1397</v>
      </c>
      <c r="L217" s="100" t="s">
        <v>24</v>
      </c>
      <c r="M217" s="100" t="s">
        <v>41</v>
      </c>
      <c r="N217" s="125">
        <v>219.3</v>
      </c>
      <c r="O217" s="125">
        <v>219.3</v>
      </c>
      <c r="P217" s="125">
        <v>153.5</v>
      </c>
      <c r="Q217" s="125">
        <v>209.2</v>
      </c>
      <c r="R217" s="125">
        <v>209.2</v>
      </c>
    </row>
    <row r="218" spans="1:18" s="114" customFormat="1" ht="12">
      <c r="A218" s="444"/>
      <c r="B218" s="509"/>
      <c r="C218" s="45"/>
      <c r="D218" s="45"/>
      <c r="E218" s="45"/>
      <c r="F218" s="552"/>
      <c r="G218" s="552"/>
      <c r="H218" s="578"/>
      <c r="I218" s="552"/>
      <c r="J218" s="475"/>
      <c r="K218" s="330"/>
      <c r="L218" s="100" t="s">
        <v>24</v>
      </c>
      <c r="M218" s="158" t="s">
        <v>41</v>
      </c>
      <c r="N218" s="125">
        <v>10.965</v>
      </c>
      <c r="O218" s="125">
        <v>10.965</v>
      </c>
      <c r="P218" s="125">
        <v>13.2</v>
      </c>
      <c r="Q218" s="125">
        <v>13.2</v>
      </c>
      <c r="R218" s="125">
        <v>13.2</v>
      </c>
    </row>
    <row r="219" spans="1:18" s="114" customFormat="1" ht="62.25" customHeight="1">
      <c r="A219" s="444"/>
      <c r="B219" s="509"/>
      <c r="C219" s="45"/>
      <c r="D219" s="45"/>
      <c r="E219" s="45"/>
      <c r="F219" s="552" t="s">
        <v>1300</v>
      </c>
      <c r="G219" s="552" t="s">
        <v>1305</v>
      </c>
      <c r="H219" s="578" t="s">
        <v>1345</v>
      </c>
      <c r="I219" s="552" t="s">
        <v>1452</v>
      </c>
      <c r="J219" s="552" t="s">
        <v>68</v>
      </c>
      <c r="K219" s="578" t="s">
        <v>1008</v>
      </c>
      <c r="L219" s="518" t="s">
        <v>24</v>
      </c>
      <c r="M219" s="518" t="s">
        <v>36</v>
      </c>
      <c r="N219" s="110">
        <v>90</v>
      </c>
      <c r="O219" s="110">
        <v>90</v>
      </c>
      <c r="P219" s="110">
        <v>90</v>
      </c>
      <c r="Q219" s="110">
        <v>0</v>
      </c>
      <c r="R219" s="110">
        <v>0</v>
      </c>
    </row>
    <row r="220" spans="1:18" s="114" customFormat="1" ht="81.75" customHeight="1">
      <c r="A220" s="444"/>
      <c r="B220" s="509" t="s">
        <v>861</v>
      </c>
      <c r="C220" s="45"/>
      <c r="D220" s="45"/>
      <c r="E220" s="45"/>
      <c r="F220" s="552"/>
      <c r="G220" s="552"/>
      <c r="H220" s="578"/>
      <c r="I220" s="552"/>
      <c r="J220" s="552"/>
      <c r="K220" s="578"/>
      <c r="L220" s="234" t="s">
        <v>24</v>
      </c>
      <c r="M220" s="234" t="s">
        <v>36</v>
      </c>
      <c r="N220" s="383">
        <v>900</v>
      </c>
      <c r="O220" s="383">
        <v>900</v>
      </c>
      <c r="P220" s="383">
        <v>900</v>
      </c>
      <c r="Q220" s="383">
        <v>900</v>
      </c>
      <c r="R220" s="533">
        <v>900</v>
      </c>
    </row>
    <row r="221" spans="1:18" s="114" customFormat="1" ht="36" customHeight="1">
      <c r="A221" s="444"/>
      <c r="B221" s="509" t="s">
        <v>984</v>
      </c>
      <c r="C221" s="45"/>
      <c r="D221" s="45"/>
      <c r="E221" s="45"/>
      <c r="F221" s="552" t="s">
        <v>1300</v>
      </c>
      <c r="G221" s="552" t="s">
        <v>1306</v>
      </c>
      <c r="H221" s="552" t="s">
        <v>1345</v>
      </c>
      <c r="I221" s="552" t="s">
        <v>1011</v>
      </c>
      <c r="J221" s="552" t="s">
        <v>68</v>
      </c>
      <c r="K221" s="632" t="s">
        <v>1012</v>
      </c>
      <c r="L221" s="234" t="s">
        <v>24</v>
      </c>
      <c r="M221" s="234" t="s">
        <v>36</v>
      </c>
      <c r="N221" s="235">
        <v>2822.5859999999998</v>
      </c>
      <c r="O221" s="235">
        <v>2822.5390000000002</v>
      </c>
      <c r="P221" s="235">
        <v>0</v>
      </c>
      <c r="Q221" s="235">
        <v>0</v>
      </c>
      <c r="R221" s="273">
        <v>0</v>
      </c>
    </row>
    <row r="222" spans="1:18" s="114" customFormat="1" ht="36" customHeight="1">
      <c r="A222" s="444"/>
      <c r="B222" s="509"/>
      <c r="C222" s="45"/>
      <c r="D222" s="45"/>
      <c r="E222" s="45"/>
      <c r="F222" s="552"/>
      <c r="G222" s="552"/>
      <c r="H222" s="552"/>
      <c r="I222" s="552"/>
      <c r="J222" s="552"/>
      <c r="K222" s="552"/>
      <c r="L222" s="234" t="s">
        <v>24</v>
      </c>
      <c r="M222" s="234" t="s">
        <v>36</v>
      </c>
      <c r="N222" s="235">
        <v>89.995000000000005</v>
      </c>
      <c r="O222" s="235">
        <v>89.995000000000005</v>
      </c>
      <c r="P222" s="235">
        <v>0</v>
      </c>
      <c r="Q222" s="235">
        <v>0</v>
      </c>
      <c r="R222" s="273">
        <v>0</v>
      </c>
    </row>
    <row r="223" spans="1:18" s="114" customFormat="1" ht="36" customHeight="1">
      <c r="A223" s="444"/>
      <c r="B223" s="509" t="s">
        <v>983</v>
      </c>
      <c r="C223" s="45"/>
      <c r="D223" s="45"/>
      <c r="E223" s="45"/>
      <c r="F223" s="552"/>
      <c r="G223" s="552"/>
      <c r="H223" s="552"/>
      <c r="I223" s="552"/>
      <c r="J223" s="552"/>
      <c r="K223" s="552"/>
      <c r="L223" s="508" t="s">
        <v>24</v>
      </c>
      <c r="M223" s="508" t="s">
        <v>36</v>
      </c>
      <c r="N223" s="394">
        <v>87.3</v>
      </c>
      <c r="O223" s="394">
        <v>87.299000000000007</v>
      </c>
      <c r="P223" s="394">
        <v>0</v>
      </c>
      <c r="Q223" s="394">
        <v>0</v>
      </c>
      <c r="R223" s="395">
        <v>0</v>
      </c>
    </row>
    <row r="224" spans="1:18" s="114" customFormat="1" ht="102" customHeight="1">
      <c r="A224" s="444"/>
      <c r="B224" s="509" t="s">
        <v>1203</v>
      </c>
      <c r="C224" s="45"/>
      <c r="D224" s="45"/>
      <c r="E224" s="45"/>
      <c r="F224" s="459"/>
      <c r="G224" s="459"/>
      <c r="H224" s="459"/>
      <c r="I224" s="552" t="s">
        <v>1394</v>
      </c>
      <c r="J224" s="552" t="s">
        <v>68</v>
      </c>
      <c r="K224" s="552" t="s">
        <v>1395</v>
      </c>
      <c r="L224" s="141" t="s">
        <v>24</v>
      </c>
      <c r="M224" s="100" t="s">
        <v>36</v>
      </c>
      <c r="N224" s="110">
        <v>0</v>
      </c>
      <c r="O224" s="110">
        <v>0</v>
      </c>
      <c r="P224" s="110">
        <v>4339.2</v>
      </c>
      <c r="Q224" s="110">
        <v>131566.20000000001</v>
      </c>
      <c r="R224" s="110">
        <v>0</v>
      </c>
    </row>
    <row r="225" spans="1:18" s="114" customFormat="1" ht="30" customHeight="1">
      <c r="A225" s="444"/>
      <c r="B225" s="509"/>
      <c r="C225" s="45"/>
      <c r="D225" s="45"/>
      <c r="E225" s="45"/>
      <c r="F225" s="459"/>
      <c r="G225" s="459"/>
      <c r="H225" s="459"/>
      <c r="I225" s="552"/>
      <c r="J225" s="552"/>
      <c r="K225" s="552"/>
      <c r="L225" s="141" t="s">
        <v>24</v>
      </c>
      <c r="M225" s="100" t="s">
        <v>36</v>
      </c>
      <c r="N225" s="110">
        <v>0</v>
      </c>
      <c r="O225" s="110">
        <v>0</v>
      </c>
      <c r="P225" s="110">
        <v>1037.086</v>
      </c>
      <c r="Q225" s="110">
        <v>0</v>
      </c>
      <c r="R225" s="110">
        <v>0</v>
      </c>
    </row>
    <row r="226" spans="1:18" s="114" customFormat="1" ht="48">
      <c r="A226" s="444"/>
      <c r="B226" s="509" t="s">
        <v>474</v>
      </c>
      <c r="C226" s="45"/>
      <c r="D226" s="45"/>
      <c r="E226" s="45"/>
      <c r="F226" s="459"/>
      <c r="G226" s="459"/>
      <c r="H226" s="459"/>
      <c r="I226" s="453" t="s">
        <v>1469</v>
      </c>
      <c r="J226" s="453" t="s">
        <v>68</v>
      </c>
      <c r="K226" s="453" t="s">
        <v>1466</v>
      </c>
      <c r="L226" s="368" t="s">
        <v>24</v>
      </c>
      <c r="M226" s="368" t="s">
        <v>36</v>
      </c>
      <c r="N226" s="427">
        <v>0</v>
      </c>
      <c r="O226" s="427">
        <v>0</v>
      </c>
      <c r="P226" s="427">
        <v>100</v>
      </c>
      <c r="Q226" s="427">
        <v>0</v>
      </c>
      <c r="R226" s="428">
        <v>0</v>
      </c>
    </row>
    <row r="227" spans="1:18" s="114" customFormat="1" ht="60" customHeight="1">
      <c r="A227" s="471"/>
      <c r="B227" s="72" t="s">
        <v>480</v>
      </c>
      <c r="C227" s="48"/>
      <c r="D227" s="48"/>
      <c r="E227" s="48"/>
      <c r="F227" s="448"/>
      <c r="G227" s="448"/>
      <c r="H227" s="448"/>
      <c r="I227" s="453" t="s">
        <v>1470</v>
      </c>
      <c r="J227" s="478" t="s">
        <v>68</v>
      </c>
      <c r="K227" s="478" t="s">
        <v>1466</v>
      </c>
      <c r="L227" s="234" t="s">
        <v>24</v>
      </c>
      <c r="M227" s="234" t="s">
        <v>36</v>
      </c>
      <c r="N227" s="235">
        <v>0</v>
      </c>
      <c r="O227" s="235">
        <v>0</v>
      </c>
      <c r="P227" s="235">
        <v>103.306</v>
      </c>
      <c r="Q227" s="427">
        <v>0</v>
      </c>
      <c r="R227" s="428">
        <v>0</v>
      </c>
    </row>
    <row r="228" spans="1:18" s="115" customFormat="1" ht="36">
      <c r="A228" s="231" t="s">
        <v>630</v>
      </c>
      <c r="B228" s="40">
        <v>1048</v>
      </c>
      <c r="C228" s="39"/>
      <c r="D228" s="39"/>
      <c r="E228" s="39"/>
      <c r="F228" s="39"/>
      <c r="G228" s="39"/>
      <c r="H228" s="39"/>
      <c r="I228" s="2"/>
      <c r="J228" s="2"/>
      <c r="K228" s="2"/>
      <c r="L228" s="473"/>
      <c r="M228" s="159"/>
      <c r="N228" s="329">
        <f>SUM(N229:N229)</f>
        <v>300</v>
      </c>
      <c r="O228" s="329">
        <f>SUM(O229:O229)</f>
        <v>300</v>
      </c>
      <c r="P228" s="329">
        <f>SUM(P229:P229)</f>
        <v>300</v>
      </c>
      <c r="Q228" s="329">
        <f t="shared" ref="Q228:R228" si="31">SUM(Q229:Q229)</f>
        <v>300</v>
      </c>
      <c r="R228" s="329">
        <f t="shared" si="31"/>
        <v>300</v>
      </c>
    </row>
    <row r="229" spans="1:18" s="114" customFormat="1" ht="72.75" customHeight="1">
      <c r="A229" s="52"/>
      <c r="B229" s="467"/>
      <c r="C229" s="442" t="s">
        <v>130</v>
      </c>
      <c r="D229" s="442" t="s">
        <v>131</v>
      </c>
      <c r="E229" s="442" t="s">
        <v>57</v>
      </c>
      <c r="F229" s="442"/>
      <c r="G229" s="442"/>
      <c r="H229" s="442"/>
      <c r="I229" s="452" t="s">
        <v>1307</v>
      </c>
      <c r="J229" s="452" t="s">
        <v>99</v>
      </c>
      <c r="K229" s="452" t="s">
        <v>132</v>
      </c>
      <c r="L229" s="84" t="s">
        <v>43</v>
      </c>
      <c r="M229" s="506" t="s">
        <v>43</v>
      </c>
      <c r="N229" s="63">
        <v>300</v>
      </c>
      <c r="O229" s="63">
        <v>300</v>
      </c>
      <c r="P229" s="63">
        <v>300</v>
      </c>
      <c r="Q229" s="63">
        <v>300</v>
      </c>
      <c r="R229" s="63">
        <v>300</v>
      </c>
    </row>
    <row r="230" spans="1:18" s="115" customFormat="1" ht="51.75" customHeight="1">
      <c r="A230" s="37" t="s">
        <v>1037</v>
      </c>
      <c r="B230" s="467">
        <v>1068</v>
      </c>
      <c r="C230" s="37" t="s">
        <v>31</v>
      </c>
      <c r="D230" s="37" t="s">
        <v>31</v>
      </c>
      <c r="E230" s="37" t="s">
        <v>31</v>
      </c>
      <c r="F230" s="37" t="s">
        <v>31</v>
      </c>
      <c r="G230" s="37" t="s">
        <v>31</v>
      </c>
      <c r="H230" s="37" t="s">
        <v>31</v>
      </c>
      <c r="I230" s="37" t="s">
        <v>31</v>
      </c>
      <c r="J230" s="37" t="s">
        <v>31</v>
      </c>
      <c r="K230" s="37" t="s">
        <v>31</v>
      </c>
      <c r="L230" s="467" t="s">
        <v>40</v>
      </c>
      <c r="M230" s="511" t="s">
        <v>32</v>
      </c>
      <c r="N230" s="164">
        <f>SUM(N232:N244)</f>
        <v>38933.629999999997</v>
      </c>
      <c r="O230" s="164">
        <f>SUM(O232:O244)</f>
        <v>38933.629999999997</v>
      </c>
      <c r="P230" s="164">
        <f>SUM(P232:P244)</f>
        <v>40340.818499999994</v>
      </c>
      <c r="Q230" s="164">
        <f t="shared" ref="Q230:R230" si="32">SUM(Q232:Q244)</f>
        <v>9459.4</v>
      </c>
      <c r="R230" s="164">
        <f t="shared" si="32"/>
        <v>9459.4</v>
      </c>
    </row>
    <row r="231" spans="1:18" s="115" customFormat="1" ht="12">
      <c r="A231" s="37" t="s">
        <v>97</v>
      </c>
      <c r="B231" s="467"/>
      <c r="C231" s="37"/>
      <c r="D231" s="37"/>
      <c r="E231" s="37"/>
      <c r="F231" s="37"/>
      <c r="G231" s="37"/>
      <c r="H231" s="37"/>
      <c r="I231" s="37"/>
      <c r="J231" s="37"/>
      <c r="K231" s="37"/>
      <c r="L231" s="467"/>
      <c r="M231" s="511"/>
      <c r="N231" s="164"/>
      <c r="O231" s="164"/>
      <c r="P231" s="164"/>
      <c r="Q231" s="164"/>
      <c r="R231" s="164"/>
    </row>
    <row r="232" spans="1:18" s="115" customFormat="1" ht="60" customHeight="1">
      <c r="A232" s="37"/>
      <c r="B232" s="467"/>
      <c r="C232" s="461" t="s">
        <v>56</v>
      </c>
      <c r="D232" s="461" t="s">
        <v>837</v>
      </c>
      <c r="E232" s="461" t="s">
        <v>57</v>
      </c>
      <c r="F232" s="568" t="s">
        <v>842</v>
      </c>
      <c r="G232" s="461" t="s">
        <v>93</v>
      </c>
      <c r="H232" s="461" t="s">
        <v>841</v>
      </c>
      <c r="I232" s="461" t="s">
        <v>136</v>
      </c>
      <c r="J232" s="461" t="s">
        <v>68</v>
      </c>
      <c r="K232" s="22" t="s">
        <v>116</v>
      </c>
      <c r="L232" s="65"/>
      <c r="M232" s="160"/>
      <c r="N232" s="63">
        <f>745.139+511.063+7687.5+275.391+2.672</f>
        <v>9221.7649999999994</v>
      </c>
      <c r="O232" s="63">
        <f>745.139+511.063+7687.5+275.391+2.672</f>
        <v>9221.7649999999994</v>
      </c>
      <c r="P232" s="63">
        <f>11186.877+984.283/2+65.7+7830.9+258.6</f>
        <v>19834.218499999999</v>
      </c>
      <c r="Q232" s="63">
        <f>8540.1+919.3</f>
        <v>9459.4</v>
      </c>
      <c r="R232" s="63">
        <f>8540.1+919.3</f>
        <v>9459.4</v>
      </c>
    </row>
    <row r="233" spans="1:18" s="115" customFormat="1" ht="72" customHeight="1">
      <c r="A233" s="55"/>
      <c r="B233" s="468"/>
      <c r="C233" s="474" t="s">
        <v>838</v>
      </c>
      <c r="D233" s="474" t="s">
        <v>839</v>
      </c>
      <c r="E233" s="378">
        <v>34716</v>
      </c>
      <c r="F233" s="577"/>
      <c r="G233" s="474"/>
      <c r="H233" s="474"/>
      <c r="I233" s="474" t="s">
        <v>471</v>
      </c>
      <c r="J233" s="474" t="s">
        <v>68</v>
      </c>
      <c r="K233" s="474" t="s">
        <v>116</v>
      </c>
      <c r="L233" s="468"/>
      <c r="M233" s="512"/>
      <c r="N233" s="47"/>
      <c r="O233" s="47"/>
      <c r="P233" s="47"/>
      <c r="Q233" s="47"/>
      <c r="R233" s="47"/>
    </row>
    <row r="234" spans="1:18" s="114" customFormat="1" ht="71.25" customHeight="1">
      <c r="A234" s="45"/>
      <c r="B234" s="459"/>
      <c r="C234" s="474"/>
      <c r="D234" s="474"/>
      <c r="E234" s="474"/>
      <c r="F234" s="474"/>
      <c r="G234" s="474"/>
      <c r="H234" s="474"/>
      <c r="I234" s="521" t="s">
        <v>442</v>
      </c>
      <c r="J234" s="521" t="s">
        <v>68</v>
      </c>
      <c r="K234" s="9" t="s">
        <v>443</v>
      </c>
      <c r="L234" s="459"/>
      <c r="M234" s="507"/>
      <c r="N234" s="47"/>
      <c r="O234" s="47"/>
      <c r="P234" s="47"/>
      <c r="Q234" s="47"/>
      <c r="R234" s="47"/>
    </row>
    <row r="235" spans="1:18" s="115" customFormat="1" ht="60">
      <c r="A235" s="55"/>
      <c r="B235" s="468"/>
      <c r="C235" s="474"/>
      <c r="D235" s="474"/>
      <c r="E235" s="474"/>
      <c r="F235" s="474"/>
      <c r="G235" s="474"/>
      <c r="H235" s="474"/>
      <c r="I235" s="474" t="s">
        <v>137</v>
      </c>
      <c r="J235" s="474" t="s">
        <v>68</v>
      </c>
      <c r="K235" s="510" t="s">
        <v>116</v>
      </c>
      <c r="L235" s="485"/>
      <c r="M235" s="151"/>
      <c r="N235" s="77"/>
      <c r="O235" s="77"/>
      <c r="P235" s="77"/>
      <c r="Q235" s="77"/>
      <c r="R235" s="77"/>
    </row>
    <row r="236" spans="1:18" s="115" customFormat="1" ht="108">
      <c r="A236" s="55"/>
      <c r="B236" s="468"/>
      <c r="C236" s="474"/>
      <c r="D236" s="474"/>
      <c r="E236" s="474"/>
      <c r="F236" s="474"/>
      <c r="G236" s="474"/>
      <c r="H236" s="474"/>
      <c r="I236" s="474" t="s">
        <v>138</v>
      </c>
      <c r="J236" s="474" t="s">
        <v>68</v>
      </c>
      <c r="K236" s="510" t="s">
        <v>116</v>
      </c>
      <c r="L236" s="485"/>
      <c r="M236" s="151"/>
      <c r="N236" s="77"/>
      <c r="O236" s="77"/>
      <c r="P236" s="77"/>
      <c r="Q236" s="77"/>
      <c r="R236" s="77"/>
    </row>
    <row r="237" spans="1:18" s="115" customFormat="1" ht="72">
      <c r="A237" s="55"/>
      <c r="B237" s="468"/>
      <c r="C237" s="474"/>
      <c r="D237" s="474"/>
      <c r="E237" s="474"/>
      <c r="F237" s="474"/>
      <c r="G237" s="474"/>
      <c r="H237" s="474"/>
      <c r="I237" s="474" t="s">
        <v>493</v>
      </c>
      <c r="J237" s="474" t="s">
        <v>68</v>
      </c>
      <c r="K237" s="510" t="s">
        <v>492</v>
      </c>
      <c r="L237" s="485"/>
      <c r="M237" s="151"/>
      <c r="N237" s="77"/>
      <c r="O237" s="77"/>
      <c r="P237" s="77"/>
      <c r="Q237" s="77"/>
      <c r="R237" s="77"/>
    </row>
    <row r="238" spans="1:18" s="115" customFormat="1" ht="47.25" customHeight="1">
      <c r="A238" s="55"/>
      <c r="B238" s="468"/>
      <c r="C238" s="474"/>
      <c r="D238" s="474"/>
      <c r="E238" s="474"/>
      <c r="F238" s="474"/>
      <c r="G238" s="474"/>
      <c r="H238" s="474"/>
      <c r="I238" s="474" t="s">
        <v>439</v>
      </c>
      <c r="J238" s="474" t="s">
        <v>68</v>
      </c>
      <c r="K238" s="510" t="s">
        <v>71</v>
      </c>
      <c r="L238" s="485"/>
      <c r="M238" s="151"/>
      <c r="N238" s="77"/>
      <c r="O238" s="77"/>
      <c r="P238" s="77"/>
      <c r="Q238" s="77"/>
      <c r="R238" s="77"/>
    </row>
    <row r="239" spans="1:18" s="114" customFormat="1" ht="60" customHeight="1">
      <c r="A239" s="54"/>
      <c r="B239" s="519" t="s">
        <v>520</v>
      </c>
      <c r="C239" s="520"/>
      <c r="D239" s="520"/>
      <c r="E239" s="520"/>
      <c r="F239" s="520"/>
      <c r="G239" s="520"/>
      <c r="H239" s="520"/>
      <c r="I239" s="520" t="s">
        <v>1308</v>
      </c>
      <c r="J239" s="520" t="s">
        <v>68</v>
      </c>
      <c r="K239" s="363" t="s">
        <v>1457</v>
      </c>
      <c r="L239" s="364"/>
      <c r="M239" s="144"/>
      <c r="N239" s="47">
        <v>29.79</v>
      </c>
      <c r="O239" s="47">
        <v>29.79</v>
      </c>
      <c r="P239" s="47">
        <v>0</v>
      </c>
      <c r="Q239" s="47">
        <v>0</v>
      </c>
      <c r="R239" s="47">
        <v>0</v>
      </c>
    </row>
    <row r="240" spans="1:18" s="114" customFormat="1" ht="62.25" customHeight="1">
      <c r="A240" s="54"/>
      <c r="B240" s="519" t="s">
        <v>474</v>
      </c>
      <c r="C240" s="520"/>
      <c r="D240" s="520"/>
      <c r="E240" s="520"/>
      <c r="F240" s="520"/>
      <c r="G240" s="520"/>
      <c r="H240" s="520"/>
      <c r="I240" s="520" t="s">
        <v>1456</v>
      </c>
      <c r="J240" s="520" t="s">
        <v>68</v>
      </c>
      <c r="K240" s="520" t="s">
        <v>1458</v>
      </c>
      <c r="L240" s="464"/>
      <c r="M240" s="464"/>
      <c r="N240" s="47">
        <v>0</v>
      </c>
      <c r="O240" s="47">
        <v>0</v>
      </c>
      <c r="P240" s="47">
        <v>100</v>
      </c>
      <c r="Q240" s="47">
        <v>0</v>
      </c>
      <c r="R240" s="47">
        <v>0</v>
      </c>
    </row>
    <row r="241" spans="1:18" s="114" customFormat="1" ht="29.25" customHeight="1">
      <c r="A241" s="45"/>
      <c r="B241" s="509" t="s">
        <v>585</v>
      </c>
      <c r="C241" s="81"/>
      <c r="D241" s="81"/>
      <c r="E241" s="81"/>
      <c r="F241" s="664" t="s">
        <v>1287</v>
      </c>
      <c r="G241" s="662" t="s">
        <v>1309</v>
      </c>
      <c r="H241" s="663" t="s">
        <v>1345</v>
      </c>
      <c r="I241" s="577" t="s">
        <v>1055</v>
      </c>
      <c r="J241" s="577" t="s">
        <v>68</v>
      </c>
      <c r="K241" s="644" t="s">
        <v>1056</v>
      </c>
      <c r="L241" s="464"/>
      <c r="M241" s="144"/>
      <c r="N241" s="47"/>
      <c r="O241" s="47"/>
      <c r="P241" s="47"/>
      <c r="Q241" s="47"/>
      <c r="R241" s="47"/>
    </row>
    <row r="242" spans="1:18" s="114" customFormat="1" ht="29.25" customHeight="1">
      <c r="A242" s="45"/>
      <c r="B242" s="509" t="s">
        <v>586</v>
      </c>
      <c r="C242" s="81"/>
      <c r="D242" s="81"/>
      <c r="E242" s="81"/>
      <c r="F242" s="664"/>
      <c r="G242" s="662"/>
      <c r="H242" s="663"/>
      <c r="I242" s="577"/>
      <c r="J242" s="577"/>
      <c r="K242" s="644"/>
      <c r="L242" s="464"/>
      <c r="M242" s="144"/>
      <c r="N242" s="47">
        <v>24.276</v>
      </c>
      <c r="O242" s="47">
        <v>24.276</v>
      </c>
      <c r="P242" s="47">
        <v>0</v>
      </c>
      <c r="Q242" s="47">
        <v>0</v>
      </c>
      <c r="R242" s="47">
        <v>0</v>
      </c>
    </row>
    <row r="243" spans="1:18" s="114" customFormat="1" ht="29.25" customHeight="1">
      <c r="A243" s="45"/>
      <c r="B243" s="509" t="s">
        <v>587</v>
      </c>
      <c r="C243" s="81"/>
      <c r="D243" s="81"/>
      <c r="E243" s="81"/>
      <c r="F243" s="664"/>
      <c r="G243" s="662"/>
      <c r="H243" s="663"/>
      <c r="I243" s="577"/>
      <c r="J243" s="577"/>
      <c r="K243" s="644"/>
      <c r="L243" s="464"/>
      <c r="M243" s="144"/>
      <c r="N243" s="47">
        <v>26.498999999999999</v>
      </c>
      <c r="O243" s="47">
        <v>26.498999999999999</v>
      </c>
      <c r="P243" s="47">
        <v>0</v>
      </c>
      <c r="Q243" s="47">
        <v>0</v>
      </c>
      <c r="R243" s="47">
        <v>0</v>
      </c>
    </row>
    <row r="244" spans="1:18" s="114" customFormat="1" ht="95.25" customHeight="1">
      <c r="A244" s="45"/>
      <c r="B244" s="509" t="s">
        <v>135</v>
      </c>
      <c r="C244" s="81"/>
      <c r="D244" s="81"/>
      <c r="E244" s="81"/>
      <c r="F244" s="391" t="s">
        <v>1287</v>
      </c>
      <c r="G244" s="391" t="s">
        <v>1288</v>
      </c>
      <c r="H244" s="391" t="s">
        <v>82</v>
      </c>
      <c r="I244" s="453" t="s">
        <v>1439</v>
      </c>
      <c r="J244" s="453" t="s">
        <v>68</v>
      </c>
      <c r="K244" s="453" t="s">
        <v>1238</v>
      </c>
      <c r="L244" s="464"/>
      <c r="M244" s="144"/>
      <c r="N244" s="47">
        <v>29631.3</v>
      </c>
      <c r="O244" s="47">
        <v>29631.3</v>
      </c>
      <c r="P244" s="47">
        <v>20406.599999999999</v>
      </c>
      <c r="Q244" s="47">
        <v>0</v>
      </c>
      <c r="R244" s="47">
        <v>0</v>
      </c>
    </row>
    <row r="245" spans="1:18" s="114" customFormat="1" ht="72" customHeight="1">
      <c r="A245" s="39" t="s">
        <v>1412</v>
      </c>
      <c r="B245" s="176" t="s">
        <v>1413</v>
      </c>
      <c r="C245" s="534"/>
      <c r="D245" s="534"/>
      <c r="E245" s="534"/>
      <c r="F245" s="535"/>
      <c r="G245" s="535"/>
      <c r="H245" s="535"/>
      <c r="I245" s="524" t="s">
        <v>91</v>
      </c>
      <c r="J245" s="318" t="s">
        <v>68</v>
      </c>
      <c r="K245" s="525" t="s">
        <v>71</v>
      </c>
      <c r="L245" s="488"/>
      <c r="M245" s="488"/>
      <c r="N245" s="242">
        <v>0</v>
      </c>
      <c r="O245" s="242">
        <v>0</v>
      </c>
      <c r="P245" s="242">
        <v>43.8</v>
      </c>
      <c r="Q245" s="242">
        <v>43.8</v>
      </c>
      <c r="R245" s="536">
        <v>43.8</v>
      </c>
    </row>
    <row r="246" spans="1:18" s="115" customFormat="1" ht="84">
      <c r="A246" s="55" t="s">
        <v>1165</v>
      </c>
      <c r="B246" s="494" t="s">
        <v>1166</v>
      </c>
      <c r="C246" s="411"/>
      <c r="D246" s="429"/>
      <c r="E246" s="429"/>
      <c r="F246" s="430"/>
      <c r="G246" s="430"/>
      <c r="H246" s="430"/>
      <c r="I246" s="528" t="s">
        <v>1297</v>
      </c>
      <c r="J246" s="528" t="s">
        <v>68</v>
      </c>
      <c r="K246" s="528" t="s">
        <v>543</v>
      </c>
      <c r="L246" s="458" t="s">
        <v>37</v>
      </c>
      <c r="M246" s="458" t="s">
        <v>35</v>
      </c>
      <c r="N246" s="175">
        <v>0</v>
      </c>
      <c r="O246" s="77">
        <v>0</v>
      </c>
      <c r="P246" s="77">
        <v>1575</v>
      </c>
      <c r="Q246" s="77">
        <v>0</v>
      </c>
      <c r="R246" s="77">
        <v>0</v>
      </c>
    </row>
    <row r="247" spans="1:18" s="115" customFormat="1" ht="72">
      <c r="A247" s="37" t="s">
        <v>550</v>
      </c>
      <c r="B247" s="467" t="s">
        <v>46</v>
      </c>
      <c r="C247" s="467" t="s">
        <v>29</v>
      </c>
      <c r="D247" s="467" t="s">
        <v>29</v>
      </c>
      <c r="E247" s="467" t="s">
        <v>29</v>
      </c>
      <c r="F247" s="467" t="s">
        <v>29</v>
      </c>
      <c r="G247" s="467" t="s">
        <v>29</v>
      </c>
      <c r="H247" s="467" t="s">
        <v>29</v>
      </c>
      <c r="I247" s="467" t="s">
        <v>29</v>
      </c>
      <c r="J247" s="467" t="s">
        <v>29</v>
      </c>
      <c r="K247" s="467" t="s">
        <v>29</v>
      </c>
      <c r="L247" s="467"/>
      <c r="M247" s="511"/>
      <c r="N247" s="164">
        <f>N248+N249+N251+N252</f>
        <v>62232.574999999997</v>
      </c>
      <c r="O247" s="164">
        <f>O248+O249+O251+O252</f>
        <v>62232.574999999997</v>
      </c>
      <c r="P247" s="164">
        <f>P248+P249+P251+P252</f>
        <v>65238.600000000006</v>
      </c>
      <c r="Q247" s="164">
        <f t="shared" ref="Q247:R247" si="33">Q248+Q249+Q251+Q252</f>
        <v>0</v>
      </c>
      <c r="R247" s="164">
        <f t="shared" si="33"/>
        <v>0</v>
      </c>
    </row>
    <row r="248" spans="1:18" s="115" customFormat="1" ht="73.5" customHeight="1">
      <c r="A248" s="37" t="s">
        <v>708</v>
      </c>
      <c r="B248" s="467">
        <v>1118</v>
      </c>
      <c r="C248" s="447" t="s">
        <v>56</v>
      </c>
      <c r="D248" s="447" t="s">
        <v>560</v>
      </c>
      <c r="E248" s="447" t="s">
        <v>57</v>
      </c>
      <c r="F248" s="447" t="s">
        <v>842</v>
      </c>
      <c r="G248" s="447" t="s">
        <v>840</v>
      </c>
      <c r="H248" s="447" t="s">
        <v>841</v>
      </c>
      <c r="I248" s="447" t="s">
        <v>1310</v>
      </c>
      <c r="J248" s="447" t="s">
        <v>68</v>
      </c>
      <c r="K248" s="447" t="s">
        <v>116</v>
      </c>
      <c r="L248" s="457" t="s">
        <v>40</v>
      </c>
      <c r="M248" s="161" t="s">
        <v>32</v>
      </c>
      <c r="N248" s="164">
        <v>15649.3</v>
      </c>
      <c r="O248" s="164">
        <v>15649.3</v>
      </c>
      <c r="P248" s="164">
        <f>14708.3+1000</f>
        <v>15708.3</v>
      </c>
      <c r="Q248" s="164">
        <v>0</v>
      </c>
      <c r="R248" s="164">
        <v>0</v>
      </c>
    </row>
    <row r="249" spans="1:18" s="115" customFormat="1" ht="60.75" customHeight="1">
      <c r="A249" s="37" t="s">
        <v>709</v>
      </c>
      <c r="B249" s="467">
        <v>1119</v>
      </c>
      <c r="C249" s="447" t="s">
        <v>56</v>
      </c>
      <c r="D249" s="447" t="s">
        <v>843</v>
      </c>
      <c r="E249" s="447" t="s">
        <v>57</v>
      </c>
      <c r="F249" s="447"/>
      <c r="G249" s="447"/>
      <c r="H249" s="447"/>
      <c r="I249" s="447" t="s">
        <v>1311</v>
      </c>
      <c r="J249" s="447" t="s">
        <v>68</v>
      </c>
      <c r="K249" s="447" t="s">
        <v>559</v>
      </c>
      <c r="L249" s="457" t="s">
        <v>40</v>
      </c>
      <c r="M249" s="457" t="s">
        <v>32</v>
      </c>
      <c r="N249" s="38">
        <f>5730.575+2104.6+4301.6+7250.9+3553.9+23641.7</f>
        <v>46583.275000000001</v>
      </c>
      <c r="O249" s="38">
        <f>5730.575+2104.6+4301.6+7250.9+3553.9+23641.7</f>
        <v>46583.275000000001</v>
      </c>
      <c r="P249" s="38">
        <f>7725.8+2192.4+4413.8+7815.6+3732.7+23650</f>
        <v>49530.3</v>
      </c>
      <c r="Q249" s="38">
        <v>0</v>
      </c>
      <c r="R249" s="169">
        <v>0</v>
      </c>
    </row>
    <row r="250" spans="1:18" s="115" customFormat="1" ht="60">
      <c r="A250" s="93"/>
      <c r="B250" s="473"/>
      <c r="C250" s="448"/>
      <c r="D250" s="448"/>
      <c r="E250" s="448"/>
      <c r="F250" s="448"/>
      <c r="G250" s="448"/>
      <c r="H250" s="448"/>
      <c r="I250" s="448" t="s">
        <v>148</v>
      </c>
      <c r="J250" s="448" t="s">
        <v>68</v>
      </c>
      <c r="K250" s="448" t="s">
        <v>559</v>
      </c>
      <c r="L250" s="458"/>
      <c r="M250" s="458"/>
      <c r="N250" s="94"/>
      <c r="O250" s="94"/>
      <c r="P250" s="94"/>
      <c r="Q250" s="94"/>
      <c r="R250" s="175"/>
    </row>
    <row r="251" spans="1:18" s="115" customFormat="1" ht="60" hidden="1">
      <c r="A251" s="37" t="s">
        <v>631</v>
      </c>
      <c r="B251" s="467">
        <v>1148</v>
      </c>
      <c r="C251" s="549" t="s">
        <v>56</v>
      </c>
      <c r="D251" s="549" t="s">
        <v>561</v>
      </c>
      <c r="E251" s="549" t="s">
        <v>57</v>
      </c>
      <c r="F251" s="549"/>
      <c r="G251" s="549"/>
      <c r="H251" s="549"/>
      <c r="I251" s="549" t="s">
        <v>136</v>
      </c>
      <c r="J251" s="549" t="s">
        <v>68</v>
      </c>
      <c r="K251" s="549" t="s">
        <v>116</v>
      </c>
      <c r="L251" s="457" t="s">
        <v>32</v>
      </c>
      <c r="M251" s="161" t="s">
        <v>33</v>
      </c>
      <c r="N251" s="164">
        <v>0</v>
      </c>
      <c r="O251" s="164">
        <v>0</v>
      </c>
      <c r="P251" s="164">
        <v>0</v>
      </c>
      <c r="Q251" s="164">
        <v>0</v>
      </c>
      <c r="R251" s="164">
        <v>0</v>
      </c>
    </row>
    <row r="252" spans="1:18" s="115" customFormat="1" ht="60" hidden="1">
      <c r="A252" s="37" t="s">
        <v>632</v>
      </c>
      <c r="B252" s="467">
        <v>1149</v>
      </c>
      <c r="C252" s="550"/>
      <c r="D252" s="550"/>
      <c r="E252" s="550"/>
      <c r="F252" s="550"/>
      <c r="G252" s="550"/>
      <c r="H252" s="550"/>
      <c r="I252" s="550"/>
      <c r="J252" s="550"/>
      <c r="K252" s="550"/>
      <c r="L252" s="457" t="s">
        <v>32</v>
      </c>
      <c r="M252" s="161" t="s">
        <v>33</v>
      </c>
      <c r="N252" s="164">
        <v>0</v>
      </c>
      <c r="O252" s="164">
        <v>0</v>
      </c>
      <c r="P252" s="164">
        <v>0</v>
      </c>
      <c r="Q252" s="164">
        <v>0</v>
      </c>
      <c r="R252" s="164">
        <v>0</v>
      </c>
    </row>
    <row r="253" spans="1:18" s="115" customFormat="1" ht="156" customHeight="1">
      <c r="A253" s="37" t="s">
        <v>551</v>
      </c>
      <c r="B253" s="467">
        <v>1200</v>
      </c>
      <c r="C253" s="467" t="s">
        <v>29</v>
      </c>
      <c r="D253" s="467" t="s">
        <v>29</v>
      </c>
      <c r="E253" s="467" t="s">
        <v>29</v>
      </c>
      <c r="F253" s="467" t="s">
        <v>29</v>
      </c>
      <c r="G253" s="467" t="s">
        <v>29</v>
      </c>
      <c r="H253" s="467" t="s">
        <v>29</v>
      </c>
      <c r="I253" s="467" t="s">
        <v>29</v>
      </c>
      <c r="J253" s="467" t="s">
        <v>29</v>
      </c>
      <c r="K253" s="467" t="s">
        <v>29</v>
      </c>
      <c r="L253" s="467"/>
      <c r="M253" s="511"/>
      <c r="N253" s="164">
        <f t="shared" ref="N253:O253" si="34">N254+N263+N270+N271+N273+N274+N280+N284+N285+N286+N297+N299</f>
        <v>132856.39000000001</v>
      </c>
      <c r="O253" s="164">
        <f t="shared" si="34"/>
        <v>130239.07900000001</v>
      </c>
      <c r="P253" s="164">
        <f>P254+P263+P270+P271+P273+P274+P280+P284+P285+P286+P297+P299</f>
        <v>140782.22300000003</v>
      </c>
      <c r="Q253" s="164">
        <f t="shared" ref="Q253:R253" si="35">Q254+Q263+Q270+Q271+Q273+Q274+Q280+Q284+Q285+Q286+Q297+Q299</f>
        <v>122678.894</v>
      </c>
      <c r="R253" s="164">
        <f t="shared" si="35"/>
        <v>124696.53399999999</v>
      </c>
    </row>
    <row r="254" spans="1:18" s="115" customFormat="1" ht="60">
      <c r="A254" s="37" t="s">
        <v>633</v>
      </c>
      <c r="B254" s="467">
        <v>1201</v>
      </c>
      <c r="C254" s="467"/>
      <c r="D254" s="467"/>
      <c r="E254" s="467"/>
      <c r="F254" s="467"/>
      <c r="G254" s="467"/>
      <c r="H254" s="467"/>
      <c r="I254" s="467"/>
      <c r="J254" s="467"/>
      <c r="K254" s="467"/>
      <c r="L254" s="467"/>
      <c r="M254" s="511"/>
      <c r="N254" s="164">
        <f t="shared" ref="N254:R254" si="36">SUM(N256:N262)</f>
        <v>39909.687000000005</v>
      </c>
      <c r="O254" s="164">
        <f t="shared" si="36"/>
        <v>37614.721999999994</v>
      </c>
      <c r="P254" s="164">
        <f t="shared" si="36"/>
        <v>40028.102999999996</v>
      </c>
      <c r="Q254" s="164">
        <f t="shared" si="36"/>
        <v>38773.184999999998</v>
      </c>
      <c r="R254" s="164">
        <f t="shared" si="36"/>
        <v>38773.224999999999</v>
      </c>
    </row>
    <row r="255" spans="1:18" s="115" customFormat="1" ht="12">
      <c r="A255" s="37" t="s">
        <v>97</v>
      </c>
      <c r="B255" s="467"/>
      <c r="C255" s="467"/>
      <c r="D255" s="467"/>
      <c r="E255" s="467"/>
      <c r="F255" s="467"/>
      <c r="G255" s="467"/>
      <c r="H255" s="467"/>
      <c r="I255" s="467"/>
      <c r="J255" s="467"/>
      <c r="K255" s="467"/>
      <c r="L255" s="467"/>
      <c r="M255" s="511"/>
      <c r="N255" s="164"/>
      <c r="O255" s="164"/>
      <c r="P255" s="164"/>
      <c r="Q255" s="164"/>
      <c r="R255" s="164"/>
    </row>
    <row r="256" spans="1:18" s="114" customFormat="1" ht="24" customHeight="1">
      <c r="A256" s="52"/>
      <c r="B256" s="447"/>
      <c r="C256" s="543" t="s">
        <v>61</v>
      </c>
      <c r="D256" s="543" t="s">
        <v>139</v>
      </c>
      <c r="E256" s="553" t="s">
        <v>62</v>
      </c>
      <c r="F256" s="543" t="s">
        <v>359</v>
      </c>
      <c r="G256" s="543" t="s">
        <v>140</v>
      </c>
      <c r="H256" s="543" t="s">
        <v>63</v>
      </c>
      <c r="I256" s="543" t="s">
        <v>141</v>
      </c>
      <c r="J256" s="543" t="s">
        <v>142</v>
      </c>
      <c r="K256" s="543" t="s">
        <v>143</v>
      </c>
      <c r="L256" s="46" t="s">
        <v>32</v>
      </c>
      <c r="M256" s="143" t="s">
        <v>36</v>
      </c>
      <c r="N256" s="63">
        <v>629.99400000000003</v>
      </c>
      <c r="O256" s="63">
        <v>532.61199999999997</v>
      </c>
      <c r="P256" s="63">
        <v>571.79999999999995</v>
      </c>
      <c r="Q256" s="63">
        <v>548.20000000000005</v>
      </c>
      <c r="R256" s="63">
        <v>548.20000000000005</v>
      </c>
    </row>
    <row r="257" spans="1:18" s="114" customFormat="1" ht="24" customHeight="1">
      <c r="A257" s="45"/>
      <c r="B257" s="459"/>
      <c r="C257" s="551"/>
      <c r="D257" s="551"/>
      <c r="E257" s="554"/>
      <c r="F257" s="551"/>
      <c r="G257" s="551"/>
      <c r="H257" s="551"/>
      <c r="I257" s="551"/>
      <c r="J257" s="551"/>
      <c r="K257" s="551"/>
      <c r="L257" s="464" t="s">
        <v>32</v>
      </c>
      <c r="M257" s="144" t="s">
        <v>41</v>
      </c>
      <c r="N257" s="47">
        <f>891.138+419.607</f>
        <v>1310.7450000000001</v>
      </c>
      <c r="O257" s="47">
        <f>880.704+415.708</f>
        <v>1296.412</v>
      </c>
      <c r="P257" s="47">
        <f>628.5+450.655</f>
        <v>1079.155</v>
      </c>
      <c r="Q257" s="47">
        <v>1061.1600000000001</v>
      </c>
      <c r="R257" s="47">
        <v>1061.2</v>
      </c>
    </row>
    <row r="258" spans="1:18" s="114" customFormat="1" ht="60" customHeight="1">
      <c r="A258" s="45"/>
      <c r="B258" s="459"/>
      <c r="C258" s="452" t="s">
        <v>56</v>
      </c>
      <c r="D258" s="452" t="s">
        <v>792</v>
      </c>
      <c r="E258" s="455" t="s">
        <v>145</v>
      </c>
      <c r="F258" s="452"/>
      <c r="G258" s="452"/>
      <c r="H258" s="452"/>
      <c r="I258" s="452" t="s">
        <v>793</v>
      </c>
      <c r="J258" s="452" t="s">
        <v>794</v>
      </c>
      <c r="K258" s="452" t="s">
        <v>60</v>
      </c>
      <c r="L258" s="464" t="s">
        <v>32</v>
      </c>
      <c r="M258" s="144" t="s">
        <v>37</v>
      </c>
      <c r="N258" s="47">
        <f>102.012+131.35+22431.935+94</f>
        <v>22759.297000000002</v>
      </c>
      <c r="O258" s="47">
        <f>102.012+116.918+20583.562+94</f>
        <v>20896.492000000002</v>
      </c>
      <c r="P258" s="47">
        <f>90+23097.739+286.6</f>
        <v>23474.339</v>
      </c>
      <c r="Q258" s="47">
        <f t="shared" ref="Q258:R258" si="37">151.3+22489.439</f>
        <v>22640.738999999998</v>
      </c>
      <c r="R258" s="47">
        <f t="shared" si="37"/>
        <v>22640.738999999998</v>
      </c>
    </row>
    <row r="259" spans="1:18" s="114" customFormat="1" ht="109.5" customHeight="1">
      <c r="A259" s="45"/>
      <c r="B259" s="459"/>
      <c r="C259" s="452" t="s">
        <v>774</v>
      </c>
      <c r="D259" s="452" t="s">
        <v>775</v>
      </c>
      <c r="E259" s="455" t="s">
        <v>776</v>
      </c>
      <c r="F259" s="452"/>
      <c r="G259" s="452"/>
      <c r="H259" s="452"/>
      <c r="I259" s="452" t="s">
        <v>1312</v>
      </c>
      <c r="J259" s="452" t="s">
        <v>68</v>
      </c>
      <c r="K259" s="452" t="s">
        <v>1106</v>
      </c>
      <c r="L259" s="519" t="s">
        <v>32</v>
      </c>
      <c r="M259" s="154" t="s">
        <v>33</v>
      </c>
      <c r="N259" s="47">
        <f>41.885+5788.106+20.752+135.585+333.2</f>
        <v>6319.5280000000002</v>
      </c>
      <c r="O259" s="47">
        <f>41.885+5608.202+20.752+135.585+333.165</f>
        <v>6139.5890000000009</v>
      </c>
      <c r="P259" s="47">
        <f>5755.918+256.491</f>
        <v>6012.4089999999997</v>
      </c>
      <c r="Q259" s="47">
        <f t="shared" ref="Q259:R259" si="38">5594.195+60+245.891</f>
        <v>5900.0859999999993</v>
      </c>
      <c r="R259" s="47">
        <f t="shared" si="38"/>
        <v>5900.0859999999993</v>
      </c>
    </row>
    <row r="260" spans="1:18" s="114" customFormat="1" ht="84">
      <c r="A260" s="45"/>
      <c r="B260" s="459"/>
      <c r="C260" s="453" t="s">
        <v>813</v>
      </c>
      <c r="D260" s="453" t="s">
        <v>814</v>
      </c>
      <c r="E260" s="521" t="s">
        <v>227</v>
      </c>
      <c r="F260" s="453"/>
      <c r="G260" s="453"/>
      <c r="H260" s="453"/>
      <c r="I260" s="453" t="s">
        <v>486</v>
      </c>
      <c r="J260" s="453" t="s">
        <v>146</v>
      </c>
      <c r="K260" s="453" t="s">
        <v>147</v>
      </c>
      <c r="L260" s="459" t="s">
        <v>43</v>
      </c>
      <c r="M260" s="459" t="s">
        <v>38</v>
      </c>
      <c r="N260" s="53">
        <f>39.228+5524.222</f>
        <v>5563.45</v>
      </c>
      <c r="O260" s="53">
        <f>39.228+5475.042</f>
        <v>5514.27</v>
      </c>
      <c r="P260" s="53">
        <v>5620.7</v>
      </c>
      <c r="Q260" s="53">
        <f t="shared" ref="Q260:R260" si="39">5440.4</f>
        <v>5440.4</v>
      </c>
      <c r="R260" s="53">
        <f t="shared" si="39"/>
        <v>5440.4</v>
      </c>
    </row>
    <row r="261" spans="1:18" s="114" customFormat="1" ht="72">
      <c r="A261" s="45"/>
      <c r="B261" s="459"/>
      <c r="C261" s="453"/>
      <c r="D261" s="453"/>
      <c r="E261" s="453"/>
      <c r="F261" s="453"/>
      <c r="G261" s="453"/>
      <c r="H261" s="453"/>
      <c r="I261" s="453" t="s">
        <v>1313</v>
      </c>
      <c r="J261" s="521" t="s">
        <v>68</v>
      </c>
      <c r="K261" s="9" t="s">
        <v>116</v>
      </c>
      <c r="L261" s="459" t="s">
        <v>40</v>
      </c>
      <c r="M261" s="459" t="s">
        <v>37</v>
      </c>
      <c r="N261" s="53">
        <f>23.482+3298.603</f>
        <v>3322.085</v>
      </c>
      <c r="O261" s="53">
        <f>23.482+3207.36</f>
        <v>3230.8420000000001</v>
      </c>
      <c r="P261" s="53">
        <f>3217.8+50.2</f>
        <v>3268</v>
      </c>
      <c r="Q261" s="53">
        <f t="shared" ref="Q261:R261" si="40">3132.4+50.2</f>
        <v>3182.6</v>
      </c>
      <c r="R261" s="53">
        <f t="shared" si="40"/>
        <v>3182.6</v>
      </c>
    </row>
    <row r="262" spans="1:18" s="114" customFormat="1" ht="12">
      <c r="A262" s="48"/>
      <c r="B262" s="448"/>
      <c r="C262" s="478"/>
      <c r="D262" s="478"/>
      <c r="E262" s="478"/>
      <c r="F262" s="478"/>
      <c r="G262" s="478"/>
      <c r="H262" s="478"/>
      <c r="I262" s="478"/>
      <c r="J262" s="522"/>
      <c r="K262" s="201"/>
      <c r="L262" s="448">
        <v>10</v>
      </c>
      <c r="M262" s="459" t="s">
        <v>37</v>
      </c>
      <c r="N262" s="58">
        <v>4.5880000000000001</v>
      </c>
      <c r="O262" s="58">
        <v>4.5049999999999999</v>
      </c>
      <c r="P262" s="58">
        <v>1.7</v>
      </c>
      <c r="Q262" s="58">
        <v>0</v>
      </c>
      <c r="R262" s="58">
        <v>0</v>
      </c>
    </row>
    <row r="263" spans="1:18" s="115" customFormat="1" ht="60">
      <c r="A263" s="39" t="s">
        <v>634</v>
      </c>
      <c r="B263" s="40">
        <v>1202</v>
      </c>
      <c r="C263" s="253"/>
      <c r="D263" s="253"/>
      <c r="E263" s="253"/>
      <c r="F263" s="253"/>
      <c r="G263" s="253"/>
      <c r="H263" s="253"/>
      <c r="I263" s="253"/>
      <c r="J263" s="254"/>
      <c r="K263" s="255"/>
      <c r="L263" s="40"/>
      <c r="M263" s="467"/>
      <c r="N263" s="38">
        <f>SUM(N264:N269)</f>
        <v>69932.971999999994</v>
      </c>
      <c r="O263" s="38">
        <f>SUM(O264:O269)</f>
        <v>69713.676000000007</v>
      </c>
      <c r="P263" s="38">
        <f>SUM(P264:P269)</f>
        <v>67547.285999999993</v>
      </c>
      <c r="Q263" s="38">
        <f t="shared" ref="Q263:R263" si="41">SUM(Q264:Q269)</f>
        <v>64846.308999999994</v>
      </c>
      <c r="R263" s="38">
        <f t="shared" si="41"/>
        <v>64846.308999999994</v>
      </c>
    </row>
    <row r="264" spans="1:18" s="114" customFormat="1" ht="144">
      <c r="A264" s="52"/>
      <c r="B264" s="447"/>
      <c r="C264" s="477" t="s">
        <v>61</v>
      </c>
      <c r="D264" s="477" t="s">
        <v>139</v>
      </c>
      <c r="E264" s="516" t="s">
        <v>62</v>
      </c>
      <c r="F264" s="477" t="s">
        <v>359</v>
      </c>
      <c r="G264" s="477" t="s">
        <v>140</v>
      </c>
      <c r="H264" s="477" t="s">
        <v>63</v>
      </c>
      <c r="I264" s="477" t="s">
        <v>1314</v>
      </c>
      <c r="J264" s="477" t="s">
        <v>68</v>
      </c>
      <c r="K264" s="477" t="s">
        <v>529</v>
      </c>
      <c r="L264" s="156" t="s">
        <v>32</v>
      </c>
      <c r="M264" s="100" t="s">
        <v>36</v>
      </c>
      <c r="N264" s="105">
        <f>2419.299</f>
        <v>2419.299</v>
      </c>
      <c r="O264" s="105">
        <v>2419.2530000000002</v>
      </c>
      <c r="P264" s="105">
        <v>1900.3</v>
      </c>
      <c r="Q264" s="105">
        <v>1822</v>
      </c>
      <c r="R264" s="105">
        <v>1822</v>
      </c>
    </row>
    <row r="265" spans="1:18" s="114" customFormat="1" ht="72">
      <c r="A265" s="45"/>
      <c r="B265" s="459"/>
      <c r="C265" s="453" t="s">
        <v>56</v>
      </c>
      <c r="D265" s="453" t="s">
        <v>144</v>
      </c>
      <c r="E265" s="503" t="s">
        <v>145</v>
      </c>
      <c r="F265" s="181"/>
      <c r="G265" s="181"/>
      <c r="H265" s="181"/>
      <c r="I265" s="476" t="s">
        <v>67</v>
      </c>
      <c r="J265" s="453" t="s">
        <v>68</v>
      </c>
      <c r="K265" s="453" t="s">
        <v>66</v>
      </c>
      <c r="L265" s="156" t="s">
        <v>32</v>
      </c>
      <c r="M265" s="100" t="s">
        <v>41</v>
      </c>
      <c r="N265" s="105">
        <v>1609.4449999999999</v>
      </c>
      <c r="O265" s="105">
        <v>1609.4449999999999</v>
      </c>
      <c r="P265" s="105">
        <v>1453.2449999999999</v>
      </c>
      <c r="Q265" s="105">
        <v>1393.2449999999999</v>
      </c>
      <c r="R265" s="105">
        <v>1393.2449999999999</v>
      </c>
    </row>
    <row r="266" spans="1:18" s="114" customFormat="1" ht="108">
      <c r="A266" s="45"/>
      <c r="B266" s="459"/>
      <c r="C266" s="453" t="s">
        <v>774</v>
      </c>
      <c r="D266" s="453" t="s">
        <v>775</v>
      </c>
      <c r="E266" s="503" t="s">
        <v>776</v>
      </c>
      <c r="F266" s="453"/>
      <c r="G266" s="453"/>
      <c r="H266" s="453"/>
      <c r="I266" s="476" t="s">
        <v>141</v>
      </c>
      <c r="J266" s="453" t="s">
        <v>142</v>
      </c>
      <c r="K266" s="453" t="s">
        <v>143</v>
      </c>
      <c r="L266" s="156" t="s">
        <v>32</v>
      </c>
      <c r="M266" s="100" t="s">
        <v>37</v>
      </c>
      <c r="N266" s="105">
        <f>485+30530.875</f>
        <v>31015.875</v>
      </c>
      <c r="O266" s="105">
        <f>485+30326.906</f>
        <v>30811.905999999999</v>
      </c>
      <c r="P266" s="105">
        <v>29183.35</v>
      </c>
      <c r="Q266" s="105">
        <v>28048.35</v>
      </c>
      <c r="R266" s="105">
        <v>28048.35</v>
      </c>
    </row>
    <row r="267" spans="1:18" s="114" customFormat="1" ht="96" customHeight="1">
      <c r="A267" s="45"/>
      <c r="B267" s="459"/>
      <c r="C267" s="453" t="s">
        <v>361</v>
      </c>
      <c r="D267" s="453" t="s">
        <v>795</v>
      </c>
      <c r="E267" s="453" t="s">
        <v>64</v>
      </c>
      <c r="F267" s="453" t="s">
        <v>780</v>
      </c>
      <c r="G267" s="453" t="s">
        <v>796</v>
      </c>
      <c r="H267" s="453" t="s">
        <v>65</v>
      </c>
      <c r="I267" s="466" t="s">
        <v>1105</v>
      </c>
      <c r="J267" s="279" t="s">
        <v>68</v>
      </c>
      <c r="K267" s="16" t="s">
        <v>1106</v>
      </c>
      <c r="L267" s="156" t="s">
        <v>32</v>
      </c>
      <c r="M267" s="100" t="s">
        <v>33</v>
      </c>
      <c r="N267" s="105">
        <f>158+14020.935+1107.247</f>
        <v>15286.181999999999</v>
      </c>
      <c r="O267" s="105">
        <f>158+14005.834+1107.067</f>
        <v>15270.901000000002</v>
      </c>
      <c r="P267" s="105">
        <f>14566.782+849.209</f>
        <v>15415.991</v>
      </c>
      <c r="Q267" s="105">
        <f t="shared" ref="Q267:R267" si="42">13964.005+814.209</f>
        <v>14778.214</v>
      </c>
      <c r="R267" s="105">
        <f t="shared" si="42"/>
        <v>14778.214</v>
      </c>
    </row>
    <row r="268" spans="1:18" s="114" customFormat="1" ht="84">
      <c r="A268" s="45"/>
      <c r="B268" s="459"/>
      <c r="C268" s="452" t="s">
        <v>813</v>
      </c>
      <c r="D268" s="452" t="s">
        <v>814</v>
      </c>
      <c r="E268" s="449" t="s">
        <v>227</v>
      </c>
      <c r="F268" s="453"/>
      <c r="G268" s="453"/>
      <c r="H268" s="453"/>
      <c r="I268" s="452" t="s">
        <v>1315</v>
      </c>
      <c r="J268" s="452" t="s">
        <v>146</v>
      </c>
      <c r="K268" s="452" t="s">
        <v>147</v>
      </c>
      <c r="L268" s="156" t="s">
        <v>43</v>
      </c>
      <c r="M268" s="100" t="s">
        <v>38</v>
      </c>
      <c r="N268" s="105">
        <f>155+12518.167</f>
        <v>12673.166999999999</v>
      </c>
      <c r="O268" s="105">
        <f>155+12518.167</f>
        <v>12673.166999999999</v>
      </c>
      <c r="P268" s="105">
        <v>12430</v>
      </c>
      <c r="Q268" s="105">
        <v>11923.6</v>
      </c>
      <c r="R268" s="105">
        <v>11923.6</v>
      </c>
    </row>
    <row r="269" spans="1:18" s="114" customFormat="1" ht="12">
      <c r="A269" s="48"/>
      <c r="B269" s="448"/>
      <c r="C269" s="478"/>
      <c r="D269" s="478"/>
      <c r="E269" s="478"/>
      <c r="F269" s="478"/>
      <c r="G269" s="478"/>
      <c r="H269" s="478"/>
      <c r="I269" s="453"/>
      <c r="J269" s="521"/>
      <c r="K269" s="9"/>
      <c r="L269" s="156" t="s">
        <v>40</v>
      </c>
      <c r="M269" s="100" t="s">
        <v>37</v>
      </c>
      <c r="N269" s="105">
        <f>88+6841.004</f>
        <v>6929.0039999999999</v>
      </c>
      <c r="O269" s="105">
        <f>88+6841.004</f>
        <v>6929.0039999999999</v>
      </c>
      <c r="P269" s="105">
        <v>7164.4</v>
      </c>
      <c r="Q269" s="105">
        <v>6880.9</v>
      </c>
      <c r="R269" s="105">
        <v>6880.9</v>
      </c>
    </row>
    <row r="270" spans="1:18" s="115" customFormat="1" ht="72" hidden="1">
      <c r="A270" s="37" t="s">
        <v>635</v>
      </c>
      <c r="B270" s="467">
        <v>1203</v>
      </c>
      <c r="C270" s="256"/>
      <c r="D270" s="256"/>
      <c r="E270" s="256"/>
      <c r="F270" s="256"/>
      <c r="G270" s="256"/>
      <c r="H270" s="256"/>
      <c r="I270" s="256"/>
      <c r="J270" s="257"/>
      <c r="K270" s="258"/>
      <c r="L270" s="493"/>
      <c r="M270" s="493"/>
      <c r="N270" s="98"/>
      <c r="O270" s="98"/>
      <c r="P270" s="98"/>
      <c r="Q270" s="98"/>
      <c r="R270" s="98"/>
    </row>
    <row r="271" spans="1:18" s="115" customFormat="1" ht="59.25" customHeight="1">
      <c r="A271" s="566" t="s">
        <v>636</v>
      </c>
      <c r="B271" s="572">
        <v>1204</v>
      </c>
      <c r="C271" s="477" t="s">
        <v>56</v>
      </c>
      <c r="D271" s="477" t="s">
        <v>365</v>
      </c>
      <c r="E271" s="516" t="s">
        <v>145</v>
      </c>
      <c r="F271" s="37" t="s">
        <v>31</v>
      </c>
      <c r="G271" s="37" t="s">
        <v>31</v>
      </c>
      <c r="H271" s="37" t="s">
        <v>31</v>
      </c>
      <c r="I271" s="447" t="s">
        <v>369</v>
      </c>
      <c r="J271" s="52" t="s">
        <v>68</v>
      </c>
      <c r="K271" s="225" t="s">
        <v>370</v>
      </c>
      <c r="L271" s="495" t="s">
        <v>26</v>
      </c>
      <c r="M271" s="512" t="s">
        <v>32</v>
      </c>
      <c r="N271" s="77">
        <v>653</v>
      </c>
      <c r="O271" s="77">
        <v>651.26199999999994</v>
      </c>
      <c r="P271" s="77">
        <v>381.9</v>
      </c>
      <c r="Q271" s="77">
        <v>70.099999999999994</v>
      </c>
      <c r="R271" s="77">
        <v>0</v>
      </c>
    </row>
    <row r="272" spans="1:18" s="115" customFormat="1" ht="48" customHeight="1">
      <c r="A272" s="567"/>
      <c r="B272" s="574"/>
      <c r="C272" s="478"/>
      <c r="D272" s="478"/>
      <c r="E272" s="517"/>
      <c r="F272" s="93"/>
      <c r="G272" s="93"/>
      <c r="H272" s="93"/>
      <c r="I272" s="448" t="s">
        <v>371</v>
      </c>
      <c r="J272" s="48" t="s">
        <v>68</v>
      </c>
      <c r="K272" s="448" t="s">
        <v>372</v>
      </c>
      <c r="L272" s="473"/>
      <c r="M272" s="162"/>
      <c r="N272" s="67"/>
      <c r="O272" s="67"/>
      <c r="P272" s="67"/>
      <c r="Q272" s="67"/>
      <c r="R272" s="68"/>
    </row>
    <row r="273" spans="1:18" s="115" customFormat="1" ht="72" customHeight="1">
      <c r="A273" s="37" t="s">
        <v>637</v>
      </c>
      <c r="B273" s="467">
        <v>1206</v>
      </c>
      <c r="C273" s="24" t="s">
        <v>56</v>
      </c>
      <c r="D273" s="24" t="s">
        <v>364</v>
      </c>
      <c r="E273" s="24" t="s">
        <v>57</v>
      </c>
      <c r="F273" s="24"/>
      <c r="G273" s="24"/>
      <c r="H273" s="24"/>
      <c r="I273" s="24" t="s">
        <v>530</v>
      </c>
      <c r="J273" s="24" t="s">
        <v>68</v>
      </c>
      <c r="K273" s="302" t="s">
        <v>60</v>
      </c>
      <c r="L273" s="259" t="s">
        <v>32</v>
      </c>
      <c r="M273" s="260" t="s">
        <v>37</v>
      </c>
      <c r="N273" s="384">
        <v>910</v>
      </c>
      <c r="O273" s="384">
        <v>910</v>
      </c>
      <c r="P273" s="384">
        <v>910</v>
      </c>
      <c r="Q273" s="384">
        <v>910</v>
      </c>
      <c r="R273" s="384">
        <v>910</v>
      </c>
    </row>
    <row r="274" spans="1:18" s="115" customFormat="1" ht="108" customHeight="1">
      <c r="A274" s="37" t="s">
        <v>638</v>
      </c>
      <c r="B274" s="467">
        <v>1208</v>
      </c>
      <c r="C274" s="37" t="s">
        <v>31</v>
      </c>
      <c r="D274" s="37" t="s">
        <v>31</v>
      </c>
      <c r="E274" s="37" t="s">
        <v>31</v>
      </c>
      <c r="F274" s="37" t="s">
        <v>31</v>
      </c>
      <c r="G274" s="37" t="s">
        <v>31</v>
      </c>
      <c r="H274" s="37" t="s">
        <v>31</v>
      </c>
      <c r="I274" s="37" t="s">
        <v>31</v>
      </c>
      <c r="J274" s="37" t="s">
        <v>31</v>
      </c>
      <c r="K274" s="37" t="s">
        <v>31</v>
      </c>
      <c r="L274" s="467" t="s">
        <v>32</v>
      </c>
      <c r="M274" s="511" t="s">
        <v>26</v>
      </c>
      <c r="N274" s="164">
        <f>SUM(N276:N279)</f>
        <v>12139.721</v>
      </c>
      <c r="O274" s="164">
        <f>SUM(O276:O279)</f>
        <v>12073.674999999999</v>
      </c>
      <c r="P274" s="164">
        <f>SUM(P276:P279)</f>
        <v>11997.8</v>
      </c>
      <c r="Q274" s="164">
        <f t="shared" ref="Q274:R274" si="43">SUM(Q276:Q279)</f>
        <v>11695.6</v>
      </c>
      <c r="R274" s="164">
        <f t="shared" si="43"/>
        <v>11695.6</v>
      </c>
    </row>
    <row r="275" spans="1:18" s="114" customFormat="1" ht="12">
      <c r="A275" s="52" t="s">
        <v>97</v>
      </c>
      <c r="B275" s="447"/>
      <c r="C275" s="52"/>
      <c r="D275" s="52"/>
      <c r="E275" s="52"/>
      <c r="F275" s="52"/>
      <c r="G275" s="52"/>
      <c r="H275" s="52"/>
      <c r="I275" s="52"/>
      <c r="J275" s="52"/>
      <c r="K275" s="52"/>
      <c r="L275" s="447"/>
      <c r="M275" s="506"/>
      <c r="N275" s="63"/>
      <c r="O275" s="63"/>
      <c r="P275" s="63"/>
      <c r="Q275" s="63"/>
      <c r="R275" s="63"/>
    </row>
    <row r="276" spans="1:18" s="114" customFormat="1" ht="50.25" customHeight="1">
      <c r="A276" s="52"/>
      <c r="B276" s="447"/>
      <c r="C276" s="303" t="s">
        <v>56</v>
      </c>
      <c r="D276" s="303" t="s">
        <v>149</v>
      </c>
      <c r="E276" s="465" t="s">
        <v>57</v>
      </c>
      <c r="F276" s="442"/>
      <c r="G276" s="442"/>
      <c r="H276" s="442"/>
      <c r="I276" s="442" t="s">
        <v>150</v>
      </c>
      <c r="J276" s="442" t="s">
        <v>151</v>
      </c>
      <c r="K276" s="442" t="s">
        <v>152</v>
      </c>
      <c r="L276" s="46"/>
      <c r="M276" s="143"/>
      <c r="N276" s="63">
        <f>2769+9370.721</f>
        <v>12139.721</v>
      </c>
      <c r="O276" s="63">
        <f>2702.954+9370.721</f>
        <v>12073.674999999999</v>
      </c>
      <c r="P276" s="63">
        <f>2845.5+9152.3</f>
        <v>11997.8</v>
      </c>
      <c r="Q276" s="63">
        <f t="shared" ref="Q276:R276" si="44">2820.9+8854.7+20</f>
        <v>11695.6</v>
      </c>
      <c r="R276" s="63">
        <f t="shared" si="44"/>
        <v>11695.6</v>
      </c>
    </row>
    <row r="277" spans="1:18" s="114" customFormat="1" ht="94.5" customHeight="1">
      <c r="A277" s="45"/>
      <c r="B277" s="459"/>
      <c r="C277" s="453" t="s">
        <v>361</v>
      </c>
      <c r="D277" s="453" t="s">
        <v>112</v>
      </c>
      <c r="E277" s="466" t="s">
        <v>64</v>
      </c>
      <c r="F277" s="452" t="s">
        <v>360</v>
      </c>
      <c r="G277" s="452" t="s">
        <v>791</v>
      </c>
      <c r="H277" s="452" t="s">
        <v>65</v>
      </c>
      <c r="I277" s="23"/>
      <c r="J277" s="23"/>
      <c r="K277" s="23"/>
      <c r="L277" s="464"/>
      <c r="M277" s="144"/>
      <c r="N277" s="47"/>
      <c r="O277" s="47"/>
      <c r="P277" s="47"/>
      <c r="Q277" s="47"/>
      <c r="R277" s="47"/>
    </row>
    <row r="278" spans="1:18" s="114" customFormat="1" ht="66" customHeight="1">
      <c r="A278" s="45"/>
      <c r="B278" s="459"/>
      <c r="C278" s="552" t="s">
        <v>153</v>
      </c>
      <c r="D278" s="552" t="s">
        <v>154</v>
      </c>
      <c r="E278" s="632" t="s">
        <v>155</v>
      </c>
      <c r="F278" s="552" t="s">
        <v>156</v>
      </c>
      <c r="G278" s="453" t="s">
        <v>157</v>
      </c>
      <c r="H278" s="453" t="s">
        <v>158</v>
      </c>
      <c r="I278" s="453" t="s">
        <v>159</v>
      </c>
      <c r="J278" s="453" t="s">
        <v>68</v>
      </c>
      <c r="K278" s="453" t="s">
        <v>160</v>
      </c>
      <c r="L278" s="459"/>
      <c r="M278" s="507"/>
      <c r="N278" s="47"/>
      <c r="O278" s="47"/>
      <c r="P278" s="47"/>
      <c r="Q278" s="47"/>
      <c r="R278" s="47"/>
    </row>
    <row r="279" spans="1:18" s="114" customFormat="1" ht="66" customHeight="1">
      <c r="A279" s="45"/>
      <c r="B279" s="459"/>
      <c r="C279" s="552"/>
      <c r="D279" s="552"/>
      <c r="E279" s="632"/>
      <c r="F279" s="552"/>
      <c r="G279" s="453"/>
      <c r="H279" s="453"/>
      <c r="I279" s="453"/>
      <c r="J279" s="453"/>
      <c r="K279" s="453"/>
      <c r="L279" s="459"/>
      <c r="M279" s="507"/>
      <c r="N279" s="47"/>
      <c r="O279" s="47"/>
      <c r="P279" s="47"/>
      <c r="Q279" s="47"/>
      <c r="R279" s="47"/>
    </row>
    <row r="280" spans="1:18" s="115" customFormat="1" ht="84" customHeight="1">
      <c r="A280" s="566" t="s">
        <v>639</v>
      </c>
      <c r="B280" s="261">
        <v>1213</v>
      </c>
      <c r="C280" s="486" t="s">
        <v>362</v>
      </c>
      <c r="D280" s="486" t="s">
        <v>161</v>
      </c>
      <c r="E280" s="486" t="s">
        <v>162</v>
      </c>
      <c r="F280" s="486" t="s">
        <v>363</v>
      </c>
      <c r="G280" s="486" t="s">
        <v>163</v>
      </c>
      <c r="H280" s="486" t="s">
        <v>164</v>
      </c>
      <c r="I280" s="486" t="s">
        <v>165</v>
      </c>
      <c r="J280" s="486" t="s">
        <v>151</v>
      </c>
      <c r="K280" s="486" t="s">
        <v>63</v>
      </c>
      <c r="L280" s="65" t="s">
        <v>32</v>
      </c>
      <c r="M280" s="160" t="s">
        <v>43</v>
      </c>
      <c r="N280" s="164">
        <v>0</v>
      </c>
      <c r="O280" s="164">
        <v>0</v>
      </c>
      <c r="P280" s="164">
        <v>2804.1</v>
      </c>
      <c r="Q280" s="164">
        <v>0</v>
      </c>
      <c r="R280" s="164">
        <v>0</v>
      </c>
    </row>
    <row r="281" spans="1:18" s="115" customFormat="1" ht="96">
      <c r="A281" s="580"/>
      <c r="B281" s="286"/>
      <c r="C281" s="487" t="s">
        <v>166</v>
      </c>
      <c r="D281" s="487" t="s">
        <v>167</v>
      </c>
      <c r="E281" s="487" t="s">
        <v>168</v>
      </c>
      <c r="F281" s="487" t="s">
        <v>169</v>
      </c>
      <c r="G281" s="487" t="s">
        <v>170</v>
      </c>
      <c r="H281" s="487" t="s">
        <v>171</v>
      </c>
      <c r="I281" s="280"/>
      <c r="J281" s="280"/>
      <c r="K281" s="280"/>
      <c r="L281" s="485"/>
      <c r="M281" s="151"/>
      <c r="N281" s="77"/>
      <c r="O281" s="77"/>
      <c r="P281" s="77"/>
      <c r="Q281" s="77"/>
      <c r="R281" s="77"/>
    </row>
    <row r="282" spans="1:18" s="115" customFormat="1" ht="60">
      <c r="A282" s="580"/>
      <c r="B282" s="286"/>
      <c r="C282" s="487" t="s">
        <v>56</v>
      </c>
      <c r="D282" s="487" t="s">
        <v>172</v>
      </c>
      <c r="E282" s="487" t="s">
        <v>57</v>
      </c>
      <c r="F282" s="487" t="s">
        <v>173</v>
      </c>
      <c r="G282" s="487" t="s">
        <v>174</v>
      </c>
      <c r="H282" s="487" t="s">
        <v>175</v>
      </c>
      <c r="I282" s="280"/>
      <c r="J282" s="280"/>
      <c r="K282" s="280"/>
      <c r="L282" s="485"/>
      <c r="M282" s="151"/>
      <c r="N282" s="77"/>
      <c r="O282" s="77"/>
      <c r="P282" s="77"/>
      <c r="Q282" s="77"/>
      <c r="R282" s="77"/>
    </row>
    <row r="283" spans="1:18" s="115" customFormat="1" ht="72">
      <c r="A283" s="567"/>
      <c r="B283" s="287"/>
      <c r="C283" s="304" t="s">
        <v>176</v>
      </c>
      <c r="D283" s="304" t="s">
        <v>177</v>
      </c>
      <c r="E283" s="304" t="s">
        <v>178</v>
      </c>
      <c r="F283" s="180"/>
      <c r="G283" s="180"/>
      <c r="H283" s="180"/>
      <c r="I283" s="281"/>
      <c r="J283" s="281"/>
      <c r="K283" s="281"/>
      <c r="L283" s="66"/>
      <c r="M283" s="152"/>
      <c r="N283" s="67"/>
      <c r="O283" s="67"/>
      <c r="P283" s="67"/>
      <c r="Q283" s="67"/>
      <c r="R283" s="67"/>
    </row>
    <row r="284" spans="1:18" s="115" customFormat="1" ht="61.5" customHeight="1">
      <c r="A284" s="566" t="s">
        <v>1087</v>
      </c>
      <c r="B284" s="467">
        <v>1219</v>
      </c>
      <c r="C284" s="477" t="s">
        <v>56</v>
      </c>
      <c r="D284" s="477" t="s">
        <v>179</v>
      </c>
      <c r="E284" s="516" t="s">
        <v>145</v>
      </c>
      <c r="F284" s="477" t="s">
        <v>58</v>
      </c>
      <c r="G284" s="477" t="s">
        <v>59</v>
      </c>
      <c r="H284" s="477" t="s">
        <v>60</v>
      </c>
      <c r="I284" s="477" t="s">
        <v>180</v>
      </c>
      <c r="J284" s="477" t="s">
        <v>181</v>
      </c>
      <c r="K284" s="477" t="s">
        <v>60</v>
      </c>
      <c r="L284" s="457" t="s">
        <v>43</v>
      </c>
      <c r="M284" s="161" t="s">
        <v>35</v>
      </c>
      <c r="N284" s="164">
        <v>895.06500000000005</v>
      </c>
      <c r="O284" s="164">
        <v>895.06500000000005</v>
      </c>
      <c r="P284" s="164">
        <f>6231.6-5912</f>
        <v>319.60000000000036</v>
      </c>
      <c r="Q284" s="164">
        <v>0</v>
      </c>
      <c r="R284" s="164">
        <v>0</v>
      </c>
    </row>
    <row r="285" spans="1:18" s="115" customFormat="1" ht="61.5" customHeight="1">
      <c r="A285" s="567"/>
      <c r="B285" s="458" t="s">
        <v>976</v>
      </c>
      <c r="C285" s="478"/>
      <c r="D285" s="478"/>
      <c r="E285" s="517"/>
      <c r="F285" s="478"/>
      <c r="G285" s="478"/>
      <c r="H285" s="478"/>
      <c r="I285" s="478" t="s">
        <v>1270</v>
      </c>
      <c r="J285" s="478"/>
      <c r="K285" s="478"/>
      <c r="L285" s="457" t="s">
        <v>43</v>
      </c>
      <c r="M285" s="161" t="s">
        <v>35</v>
      </c>
      <c r="N285" s="164">
        <v>0</v>
      </c>
      <c r="O285" s="164">
        <v>0</v>
      </c>
      <c r="P285" s="164">
        <v>5912</v>
      </c>
      <c r="Q285" s="164">
        <v>5241.7</v>
      </c>
      <c r="R285" s="164">
        <v>6829.4</v>
      </c>
    </row>
    <row r="286" spans="1:18" s="115" customFormat="1" ht="21" customHeight="1">
      <c r="A286" s="566" t="s">
        <v>640</v>
      </c>
      <c r="B286" s="572">
        <v>1221</v>
      </c>
      <c r="C286" s="559" t="s">
        <v>777</v>
      </c>
      <c r="D286" s="559" t="s">
        <v>778</v>
      </c>
      <c r="E286" s="657" t="s">
        <v>779</v>
      </c>
      <c r="F286" s="559" t="s">
        <v>780</v>
      </c>
      <c r="G286" s="559" t="s">
        <v>781</v>
      </c>
      <c r="H286" s="657" t="s">
        <v>65</v>
      </c>
      <c r="I286" s="559" t="s">
        <v>589</v>
      </c>
      <c r="J286" s="559" t="s">
        <v>68</v>
      </c>
      <c r="K286" s="559" t="s">
        <v>69</v>
      </c>
      <c r="L286" s="176"/>
      <c r="M286" s="176"/>
      <c r="N286" s="242">
        <f>SUM(N287:N296)</f>
        <v>8297.4989999999998</v>
      </c>
      <c r="O286" s="242">
        <f>SUM(O287:O296)</f>
        <v>8262.7389999999978</v>
      </c>
      <c r="P286" s="242">
        <f>SUM(P287:P296)</f>
        <v>9239.4</v>
      </c>
      <c r="Q286" s="242">
        <f t="shared" ref="Q286:R286" si="45">SUM(Q287:Q296)</f>
        <v>0</v>
      </c>
      <c r="R286" s="242">
        <f t="shared" si="45"/>
        <v>0</v>
      </c>
    </row>
    <row r="287" spans="1:18" s="114" customFormat="1" ht="21" customHeight="1">
      <c r="A287" s="580"/>
      <c r="B287" s="573"/>
      <c r="C287" s="552"/>
      <c r="D287" s="552"/>
      <c r="E287" s="632"/>
      <c r="F287" s="552"/>
      <c r="G287" s="552"/>
      <c r="H287" s="552"/>
      <c r="I287" s="552"/>
      <c r="J287" s="552"/>
      <c r="K287" s="552"/>
      <c r="L287" s="234" t="s">
        <v>32</v>
      </c>
      <c r="M287" s="234" t="s">
        <v>41</v>
      </c>
      <c r="N287" s="243">
        <v>0</v>
      </c>
      <c r="O287" s="243">
        <v>0</v>
      </c>
      <c r="P287" s="243">
        <v>50</v>
      </c>
      <c r="Q287" s="243">
        <v>0</v>
      </c>
      <c r="R287" s="243">
        <v>0</v>
      </c>
    </row>
    <row r="288" spans="1:18" s="114" customFormat="1" ht="21" customHeight="1">
      <c r="A288" s="580"/>
      <c r="B288" s="573"/>
      <c r="C288" s="552"/>
      <c r="D288" s="552"/>
      <c r="E288" s="632"/>
      <c r="F288" s="552"/>
      <c r="G288" s="552"/>
      <c r="H288" s="552"/>
      <c r="I288" s="552"/>
      <c r="J288" s="552"/>
      <c r="K288" s="552"/>
      <c r="L288" s="234" t="s">
        <v>32</v>
      </c>
      <c r="M288" s="234" t="s">
        <v>37</v>
      </c>
      <c r="N288" s="243">
        <v>766</v>
      </c>
      <c r="O288" s="243">
        <v>741.08799999999997</v>
      </c>
      <c r="P288" s="243">
        <v>966</v>
      </c>
      <c r="Q288" s="243">
        <v>0</v>
      </c>
      <c r="R288" s="243">
        <v>0</v>
      </c>
    </row>
    <row r="289" spans="1:18" s="114" customFormat="1" ht="21" customHeight="1">
      <c r="A289" s="580"/>
      <c r="B289" s="573"/>
      <c r="C289" s="552"/>
      <c r="D289" s="552"/>
      <c r="E289" s="632"/>
      <c r="F289" s="552"/>
      <c r="G289" s="552"/>
      <c r="H289" s="552"/>
      <c r="I289" s="552"/>
      <c r="J289" s="552"/>
      <c r="K289" s="552"/>
      <c r="L289" s="234" t="s">
        <v>32</v>
      </c>
      <c r="M289" s="234" t="s">
        <v>33</v>
      </c>
      <c r="N289" s="243">
        <f>314.628</f>
        <v>314.62799999999999</v>
      </c>
      <c r="O289" s="243">
        <v>314.62799999999999</v>
      </c>
      <c r="P289" s="243">
        <v>663.3</v>
      </c>
      <c r="Q289" s="243">
        <v>0</v>
      </c>
      <c r="R289" s="243">
        <v>0</v>
      </c>
    </row>
    <row r="290" spans="1:18" s="114" customFormat="1" ht="21" customHeight="1">
      <c r="A290" s="580"/>
      <c r="B290" s="573"/>
      <c r="C290" s="552"/>
      <c r="D290" s="552"/>
      <c r="E290" s="632"/>
      <c r="F290" s="552"/>
      <c r="G290" s="552"/>
      <c r="H290" s="552"/>
      <c r="I290" s="552"/>
      <c r="J290" s="552"/>
      <c r="K290" s="552"/>
      <c r="L290" s="234" t="s">
        <v>32</v>
      </c>
      <c r="M290" s="234" t="s">
        <v>26</v>
      </c>
      <c r="N290" s="243">
        <f>29.17+130.337</f>
        <v>159.50700000000001</v>
      </c>
      <c r="O290" s="243">
        <f>29.17+130.337</f>
        <v>159.50700000000001</v>
      </c>
      <c r="P290" s="243">
        <f>160+150</f>
        <v>310</v>
      </c>
      <c r="Q290" s="243">
        <v>0</v>
      </c>
      <c r="R290" s="243">
        <v>0</v>
      </c>
    </row>
    <row r="291" spans="1:18" s="114" customFormat="1" ht="21" customHeight="1">
      <c r="A291" s="580"/>
      <c r="B291" s="573"/>
      <c r="C291" s="552"/>
      <c r="D291" s="552"/>
      <c r="E291" s="632"/>
      <c r="F291" s="552"/>
      <c r="G291" s="552"/>
      <c r="H291" s="552"/>
      <c r="I291" s="552"/>
      <c r="J291" s="552"/>
      <c r="K291" s="552"/>
      <c r="L291" s="234" t="s">
        <v>43</v>
      </c>
      <c r="M291" s="234" t="s">
        <v>32</v>
      </c>
      <c r="N291" s="243">
        <v>1493.8610000000001</v>
      </c>
      <c r="O291" s="243">
        <v>1493.8610000000001</v>
      </c>
      <c r="P291" s="243">
        <v>1381.8</v>
      </c>
      <c r="Q291" s="243">
        <v>0</v>
      </c>
      <c r="R291" s="243">
        <v>0</v>
      </c>
    </row>
    <row r="292" spans="1:18" s="114" customFormat="1" ht="21" customHeight="1">
      <c r="A292" s="580"/>
      <c r="B292" s="573"/>
      <c r="C292" s="552"/>
      <c r="D292" s="552"/>
      <c r="E292" s="632"/>
      <c r="F292" s="552"/>
      <c r="G292" s="552"/>
      <c r="H292" s="552"/>
      <c r="I292" s="552"/>
      <c r="J292" s="552"/>
      <c r="K292" s="552"/>
      <c r="L292" s="234" t="s">
        <v>43</v>
      </c>
      <c r="M292" s="234" t="s">
        <v>36</v>
      </c>
      <c r="N292" s="243">
        <v>3611.6010000000001</v>
      </c>
      <c r="O292" s="243">
        <v>3609.7869999999998</v>
      </c>
      <c r="P292" s="243">
        <v>3716</v>
      </c>
      <c r="Q292" s="243">
        <v>0</v>
      </c>
      <c r="R292" s="243">
        <v>0</v>
      </c>
    </row>
    <row r="293" spans="1:18" s="114" customFormat="1" ht="21" customHeight="1">
      <c r="A293" s="580"/>
      <c r="B293" s="573"/>
      <c r="C293" s="552"/>
      <c r="D293" s="552"/>
      <c r="E293" s="632"/>
      <c r="F293" s="552"/>
      <c r="G293" s="552"/>
      <c r="H293" s="552"/>
      <c r="I293" s="552"/>
      <c r="J293" s="552"/>
      <c r="K293" s="552"/>
      <c r="L293" s="234" t="s">
        <v>43</v>
      </c>
      <c r="M293" s="234" t="s">
        <v>41</v>
      </c>
      <c r="N293" s="243">
        <v>917.83</v>
      </c>
      <c r="O293" s="243">
        <v>909.79600000000005</v>
      </c>
      <c r="P293" s="243">
        <v>663.5</v>
      </c>
      <c r="Q293" s="243">
        <v>0</v>
      </c>
      <c r="R293" s="243">
        <v>0</v>
      </c>
    </row>
    <row r="294" spans="1:18" s="114" customFormat="1" ht="32.25" customHeight="1">
      <c r="A294" s="580"/>
      <c r="B294" s="573"/>
      <c r="C294" s="552"/>
      <c r="D294" s="552"/>
      <c r="E294" s="632"/>
      <c r="F294" s="552"/>
      <c r="G294" s="552"/>
      <c r="H294" s="552"/>
      <c r="I294" s="552" t="s">
        <v>815</v>
      </c>
      <c r="J294" s="552" t="s">
        <v>68</v>
      </c>
      <c r="K294" s="552" t="s">
        <v>116</v>
      </c>
      <c r="L294" s="234" t="s">
        <v>43</v>
      </c>
      <c r="M294" s="234" t="s">
        <v>38</v>
      </c>
      <c r="N294" s="243">
        <v>150.84200000000001</v>
      </c>
      <c r="O294" s="243">
        <v>150.84200000000001</v>
      </c>
      <c r="P294" s="243">
        <v>250</v>
      </c>
      <c r="Q294" s="243">
        <v>0</v>
      </c>
      <c r="R294" s="243">
        <v>0</v>
      </c>
    </row>
    <row r="295" spans="1:18" s="114" customFormat="1" ht="32.25" customHeight="1">
      <c r="A295" s="580"/>
      <c r="B295" s="573"/>
      <c r="C295" s="552"/>
      <c r="D295" s="552"/>
      <c r="E295" s="632"/>
      <c r="F295" s="552"/>
      <c r="G295" s="552"/>
      <c r="H295" s="552"/>
      <c r="I295" s="552"/>
      <c r="J295" s="552"/>
      <c r="K295" s="552"/>
      <c r="L295" s="234" t="s">
        <v>40</v>
      </c>
      <c r="M295" s="234" t="s">
        <v>32</v>
      </c>
      <c r="N295" s="243">
        <v>697.79700000000003</v>
      </c>
      <c r="O295" s="243">
        <v>697.79700000000003</v>
      </c>
      <c r="P295" s="243">
        <v>919.3</v>
      </c>
      <c r="Q295" s="243">
        <v>0</v>
      </c>
      <c r="R295" s="243">
        <v>0</v>
      </c>
    </row>
    <row r="296" spans="1:18" s="114" customFormat="1" ht="32.25" customHeight="1">
      <c r="A296" s="567"/>
      <c r="B296" s="574"/>
      <c r="C296" s="560"/>
      <c r="D296" s="560"/>
      <c r="E296" s="658"/>
      <c r="F296" s="560"/>
      <c r="G296" s="560"/>
      <c r="H296" s="560"/>
      <c r="I296" s="560"/>
      <c r="J296" s="560"/>
      <c r="K296" s="560"/>
      <c r="L296" s="234" t="s">
        <v>40</v>
      </c>
      <c r="M296" s="234" t="s">
        <v>37</v>
      </c>
      <c r="N296" s="243">
        <v>185.43299999999999</v>
      </c>
      <c r="O296" s="243">
        <v>185.43299999999999</v>
      </c>
      <c r="P296" s="243">
        <v>319.5</v>
      </c>
      <c r="Q296" s="243">
        <v>0</v>
      </c>
      <c r="R296" s="243">
        <v>0</v>
      </c>
    </row>
    <row r="297" spans="1:18" s="115" customFormat="1" ht="60">
      <c r="A297" s="55" t="s">
        <v>641</v>
      </c>
      <c r="B297" s="468">
        <v>1222</v>
      </c>
      <c r="C297" s="466" t="s">
        <v>56</v>
      </c>
      <c r="D297" s="452" t="s">
        <v>365</v>
      </c>
      <c r="E297" s="455" t="s">
        <v>145</v>
      </c>
      <c r="F297" s="55" t="s">
        <v>31</v>
      </c>
      <c r="G297" s="55" t="s">
        <v>31</v>
      </c>
      <c r="H297" s="55" t="s">
        <v>31</v>
      </c>
      <c r="I297" s="499" t="s">
        <v>420</v>
      </c>
      <c r="J297" s="499" t="s">
        <v>68</v>
      </c>
      <c r="K297" s="499" t="s">
        <v>182</v>
      </c>
      <c r="L297" s="468" t="s">
        <v>32</v>
      </c>
      <c r="M297" s="512" t="s">
        <v>24</v>
      </c>
      <c r="N297" s="77">
        <v>0</v>
      </c>
      <c r="O297" s="77">
        <v>0</v>
      </c>
      <c r="P297" s="77">
        <v>1500</v>
      </c>
      <c r="Q297" s="77">
        <v>1000</v>
      </c>
      <c r="R297" s="77">
        <v>1500</v>
      </c>
    </row>
    <row r="298" spans="1:18" s="115" customFormat="1" ht="72">
      <c r="A298" s="55"/>
      <c r="B298" s="473"/>
      <c r="C298" s="478"/>
      <c r="D298" s="478"/>
      <c r="E298" s="517"/>
      <c r="F298" s="93"/>
      <c r="G298" s="93"/>
      <c r="H298" s="93"/>
      <c r="I298" s="112" t="s">
        <v>579</v>
      </c>
      <c r="J298" s="112" t="s">
        <v>68</v>
      </c>
      <c r="K298" s="135" t="s">
        <v>182</v>
      </c>
      <c r="L298" s="473"/>
      <c r="M298" s="473"/>
      <c r="N298" s="94"/>
      <c r="O298" s="94"/>
      <c r="P298" s="94"/>
      <c r="Q298" s="94"/>
      <c r="R298" s="94"/>
    </row>
    <row r="299" spans="1:18" s="115" customFormat="1" ht="48">
      <c r="A299" s="39" t="s">
        <v>1414</v>
      </c>
      <c r="B299" s="40">
        <v>1226</v>
      </c>
      <c r="C299" s="25"/>
      <c r="D299" s="25"/>
      <c r="E299" s="25"/>
      <c r="F299" s="25"/>
      <c r="G299" s="25"/>
      <c r="H299" s="25"/>
      <c r="I299" s="25"/>
      <c r="J299" s="25"/>
      <c r="K299" s="25"/>
      <c r="L299" s="40" t="s">
        <v>32</v>
      </c>
      <c r="M299" s="40" t="s">
        <v>26</v>
      </c>
      <c r="N299" s="242">
        <f>SUM(N301:N303)</f>
        <v>118.446</v>
      </c>
      <c r="O299" s="242">
        <f>SUM(O301:O303)</f>
        <v>117.94</v>
      </c>
      <c r="P299" s="242">
        <f>SUM(P301:P303)</f>
        <v>142.03399999999999</v>
      </c>
      <c r="Q299" s="242">
        <f>SUM(Q301:Q303)</f>
        <v>142</v>
      </c>
      <c r="R299" s="242">
        <f>SUM(R301:R303)</f>
        <v>142</v>
      </c>
    </row>
    <row r="300" spans="1:18" s="115" customFormat="1" ht="12">
      <c r="A300" s="39" t="s">
        <v>97</v>
      </c>
      <c r="B300" s="40"/>
      <c r="C300" s="25"/>
      <c r="D300" s="25"/>
      <c r="E300" s="25"/>
      <c r="F300" s="25"/>
      <c r="G300" s="25"/>
      <c r="H300" s="25"/>
      <c r="I300" s="25"/>
      <c r="J300" s="25"/>
      <c r="K300" s="25"/>
      <c r="L300" s="467"/>
      <c r="M300" s="467"/>
      <c r="N300" s="38"/>
      <c r="O300" s="38"/>
      <c r="P300" s="38"/>
      <c r="Q300" s="38"/>
      <c r="R300" s="169"/>
    </row>
    <row r="301" spans="1:18" s="115" customFormat="1" ht="36" customHeight="1">
      <c r="A301" s="37"/>
      <c r="B301" s="467"/>
      <c r="C301" s="477" t="s">
        <v>56</v>
      </c>
      <c r="D301" s="477" t="s">
        <v>197</v>
      </c>
      <c r="E301" s="477" t="s">
        <v>57</v>
      </c>
      <c r="F301" s="477"/>
      <c r="G301" s="477"/>
      <c r="H301" s="477"/>
      <c r="I301" s="477" t="s">
        <v>469</v>
      </c>
      <c r="J301" s="477" t="s">
        <v>198</v>
      </c>
      <c r="K301" s="477" t="s">
        <v>118</v>
      </c>
      <c r="L301" s="467"/>
      <c r="M301" s="467"/>
      <c r="N301" s="20">
        <v>114.94</v>
      </c>
      <c r="O301" s="20">
        <v>114.94</v>
      </c>
      <c r="P301" s="20">
        <v>127.03400000000001</v>
      </c>
      <c r="Q301" s="20">
        <v>127</v>
      </c>
      <c r="R301" s="20">
        <v>127</v>
      </c>
    </row>
    <row r="302" spans="1:18" s="115" customFormat="1" ht="40.5" customHeight="1">
      <c r="A302" s="55"/>
      <c r="B302" s="468"/>
      <c r="C302" s="453"/>
      <c r="D302" s="453"/>
      <c r="E302" s="453"/>
      <c r="F302" s="453"/>
      <c r="G302" s="453"/>
      <c r="H302" s="453"/>
      <c r="I302" s="453" t="s">
        <v>199</v>
      </c>
      <c r="J302" s="453" t="s">
        <v>200</v>
      </c>
      <c r="K302" s="453" t="s">
        <v>201</v>
      </c>
      <c r="L302" s="468"/>
      <c r="M302" s="468"/>
      <c r="N302" s="53">
        <v>0</v>
      </c>
      <c r="O302" s="53">
        <v>0</v>
      </c>
      <c r="P302" s="53">
        <v>0</v>
      </c>
      <c r="Q302" s="53">
        <v>0</v>
      </c>
      <c r="R302" s="171">
        <v>0</v>
      </c>
    </row>
    <row r="303" spans="1:18" s="115" customFormat="1" ht="47.25" customHeight="1">
      <c r="A303" s="55"/>
      <c r="B303" s="468"/>
      <c r="C303" s="453"/>
      <c r="D303" s="453"/>
      <c r="E303" s="453"/>
      <c r="F303" s="537"/>
      <c r="G303" s="81"/>
      <c r="H303" s="81"/>
      <c r="I303" s="453" t="s">
        <v>1322</v>
      </c>
      <c r="J303" s="453" t="s">
        <v>202</v>
      </c>
      <c r="K303" s="453" t="s">
        <v>203</v>
      </c>
      <c r="L303" s="468"/>
      <c r="M303" s="468"/>
      <c r="N303" s="53">
        <v>3.5059999999999998</v>
      </c>
      <c r="O303" s="53">
        <v>3</v>
      </c>
      <c r="P303" s="53">
        <v>15</v>
      </c>
      <c r="Q303" s="53">
        <v>15</v>
      </c>
      <c r="R303" s="53">
        <v>15</v>
      </c>
    </row>
    <row r="304" spans="1:18" s="115" customFormat="1" ht="108">
      <c r="A304" s="37" t="s">
        <v>4</v>
      </c>
      <c r="B304" s="467">
        <v>1300</v>
      </c>
      <c r="C304" s="467" t="s">
        <v>29</v>
      </c>
      <c r="D304" s="467" t="s">
        <v>29</v>
      </c>
      <c r="E304" s="467" t="s">
        <v>29</v>
      </c>
      <c r="F304" s="467" t="s">
        <v>29</v>
      </c>
      <c r="G304" s="467" t="s">
        <v>29</v>
      </c>
      <c r="H304" s="467" t="s">
        <v>29</v>
      </c>
      <c r="I304" s="467" t="s">
        <v>29</v>
      </c>
      <c r="J304" s="467" t="s">
        <v>29</v>
      </c>
      <c r="K304" s="467" t="s">
        <v>29</v>
      </c>
      <c r="L304" s="467"/>
      <c r="M304" s="467"/>
      <c r="N304" s="38">
        <f>N305+N311+N328</f>
        <v>7633.5710000000008</v>
      </c>
      <c r="O304" s="38">
        <f>O305+O311+O328</f>
        <v>7626.6560000000009</v>
      </c>
      <c r="P304" s="38">
        <f>P305+P311+P328</f>
        <v>7293.5050000000001</v>
      </c>
      <c r="Q304" s="38">
        <f>Q305+Q311+Q328</f>
        <v>6644.2000000000007</v>
      </c>
      <c r="R304" s="38">
        <f>R305+R311+R328</f>
        <v>6889.9</v>
      </c>
    </row>
    <row r="305" spans="1:18" s="115" customFormat="1" ht="60">
      <c r="A305" s="37" t="s">
        <v>552</v>
      </c>
      <c r="B305" s="467">
        <v>1301</v>
      </c>
      <c r="C305" s="467" t="s">
        <v>29</v>
      </c>
      <c r="D305" s="467" t="s">
        <v>29</v>
      </c>
      <c r="E305" s="467" t="s">
        <v>29</v>
      </c>
      <c r="F305" s="467" t="s">
        <v>29</v>
      </c>
      <c r="G305" s="467" t="s">
        <v>29</v>
      </c>
      <c r="H305" s="467" t="s">
        <v>29</v>
      </c>
      <c r="I305" s="467" t="s">
        <v>29</v>
      </c>
      <c r="J305" s="467" t="s">
        <v>29</v>
      </c>
      <c r="K305" s="467" t="s">
        <v>29</v>
      </c>
      <c r="L305" s="467"/>
      <c r="M305" s="467"/>
      <c r="N305" s="38">
        <f>N306</f>
        <v>381.47499999999997</v>
      </c>
      <c r="O305" s="38">
        <f t="shared" ref="O305:R305" si="46">O306</f>
        <v>381.47499999999997</v>
      </c>
      <c r="P305" s="38">
        <f t="shared" si="46"/>
        <v>245.7</v>
      </c>
      <c r="Q305" s="38">
        <f t="shared" si="46"/>
        <v>0</v>
      </c>
      <c r="R305" s="38">
        <f t="shared" si="46"/>
        <v>245.7</v>
      </c>
    </row>
    <row r="306" spans="1:18" s="115" customFormat="1" ht="23.25" customHeight="1">
      <c r="A306" s="39" t="s">
        <v>49</v>
      </c>
      <c r="B306" s="40">
        <v>1307</v>
      </c>
      <c r="C306" s="39" t="s">
        <v>31</v>
      </c>
      <c r="D306" s="39" t="s">
        <v>31</v>
      </c>
      <c r="E306" s="39" t="s">
        <v>31</v>
      </c>
      <c r="F306" s="39" t="s">
        <v>31</v>
      </c>
      <c r="G306" s="39" t="s">
        <v>31</v>
      </c>
      <c r="H306" s="39" t="s">
        <v>31</v>
      </c>
      <c r="I306" s="39" t="s">
        <v>31</v>
      </c>
      <c r="J306" s="39" t="s">
        <v>31</v>
      </c>
      <c r="K306" s="39" t="s">
        <v>31</v>
      </c>
      <c r="L306" s="40" t="s">
        <v>37</v>
      </c>
      <c r="M306" s="40" t="s">
        <v>25</v>
      </c>
      <c r="N306" s="242">
        <f>SUM(N307:N310)</f>
        <v>381.47499999999997</v>
      </c>
      <c r="O306" s="242">
        <f>SUM(O307:O310)</f>
        <v>381.47499999999997</v>
      </c>
      <c r="P306" s="242">
        <f>SUM(P307:P310)</f>
        <v>245.7</v>
      </c>
      <c r="Q306" s="242">
        <f>SUM(Q307:Q310)</f>
        <v>0</v>
      </c>
      <c r="R306" s="242">
        <f>SUM(R307:R310)</f>
        <v>245.7</v>
      </c>
    </row>
    <row r="307" spans="1:18" s="114" customFormat="1" ht="60">
      <c r="A307" s="45"/>
      <c r="B307" s="509"/>
      <c r="C307" s="453" t="s">
        <v>56</v>
      </c>
      <c r="D307" s="453" t="s">
        <v>368</v>
      </c>
      <c r="E307" s="503" t="s">
        <v>145</v>
      </c>
      <c r="F307" s="45"/>
      <c r="G307" s="45"/>
      <c r="H307" s="45"/>
      <c r="I307" s="474" t="s">
        <v>590</v>
      </c>
      <c r="J307" s="474" t="s">
        <v>68</v>
      </c>
      <c r="K307" s="474" t="s">
        <v>411</v>
      </c>
      <c r="L307" s="459"/>
      <c r="M307" s="459"/>
      <c r="N307" s="117">
        <f>101.8+83.475</f>
        <v>185.27499999999998</v>
      </c>
      <c r="O307" s="117">
        <f>101.8+83.475</f>
        <v>185.27499999999998</v>
      </c>
      <c r="P307" s="117">
        <v>245.7</v>
      </c>
      <c r="Q307" s="117">
        <v>0</v>
      </c>
      <c r="R307" s="117">
        <v>245.7</v>
      </c>
    </row>
    <row r="308" spans="1:18" s="114" customFormat="1" ht="60">
      <c r="A308" s="45"/>
      <c r="B308" s="509"/>
      <c r="C308" s="453"/>
      <c r="D308" s="453"/>
      <c r="E308" s="503"/>
      <c r="F308" s="45"/>
      <c r="G308" s="45"/>
      <c r="H308" s="45"/>
      <c r="I308" s="474" t="s">
        <v>517</v>
      </c>
      <c r="J308" s="474" t="s">
        <v>68</v>
      </c>
      <c r="K308" s="474" t="s">
        <v>472</v>
      </c>
      <c r="L308" s="459"/>
      <c r="M308" s="459"/>
      <c r="N308" s="117"/>
      <c r="O308" s="117"/>
      <c r="P308" s="117"/>
      <c r="Q308" s="117"/>
      <c r="R308" s="139"/>
    </row>
    <row r="309" spans="1:18" s="114" customFormat="1" ht="48">
      <c r="A309" s="45"/>
      <c r="B309" s="509"/>
      <c r="C309" s="453"/>
      <c r="D309" s="453"/>
      <c r="E309" s="503"/>
      <c r="F309" s="45"/>
      <c r="G309" s="45"/>
      <c r="H309" s="45"/>
      <c r="I309" s="474" t="s">
        <v>91</v>
      </c>
      <c r="J309" s="474" t="s">
        <v>68</v>
      </c>
      <c r="K309" s="474" t="s">
        <v>71</v>
      </c>
      <c r="L309" s="459"/>
      <c r="M309" s="459"/>
      <c r="N309" s="117"/>
      <c r="O309" s="117"/>
      <c r="P309" s="117"/>
      <c r="Q309" s="117"/>
      <c r="R309" s="139"/>
    </row>
    <row r="310" spans="1:18" s="114" customFormat="1" ht="96.75" customHeight="1">
      <c r="A310" s="45"/>
      <c r="B310" s="509" t="s">
        <v>417</v>
      </c>
      <c r="C310" s="45"/>
      <c r="D310" s="45"/>
      <c r="E310" s="45"/>
      <c r="F310" s="45"/>
      <c r="G310" s="45"/>
      <c r="H310" s="45"/>
      <c r="I310" s="474" t="s">
        <v>1109</v>
      </c>
      <c r="J310" s="474" t="s">
        <v>68</v>
      </c>
      <c r="K310" s="474" t="s">
        <v>1019</v>
      </c>
      <c r="L310" s="459"/>
      <c r="M310" s="459"/>
      <c r="N310" s="117">
        <v>196.2</v>
      </c>
      <c r="O310" s="117">
        <v>196.2</v>
      </c>
      <c r="P310" s="117">
        <v>0</v>
      </c>
      <c r="Q310" s="117">
        <v>0</v>
      </c>
      <c r="R310" s="117">
        <v>0</v>
      </c>
    </row>
    <row r="311" spans="1:18" s="115" customFormat="1" ht="84">
      <c r="A311" s="37" t="s">
        <v>642</v>
      </c>
      <c r="B311" s="467">
        <v>1500</v>
      </c>
      <c r="C311" s="467" t="s">
        <v>29</v>
      </c>
      <c r="D311" s="467" t="s">
        <v>29</v>
      </c>
      <c r="E311" s="467" t="s">
        <v>29</v>
      </c>
      <c r="F311" s="467" t="s">
        <v>29</v>
      </c>
      <c r="G311" s="467" t="s">
        <v>29</v>
      </c>
      <c r="H311" s="467" t="s">
        <v>29</v>
      </c>
      <c r="I311" s="467" t="s">
        <v>29</v>
      </c>
      <c r="J311" s="467" t="s">
        <v>29</v>
      </c>
      <c r="K311" s="467" t="s">
        <v>29</v>
      </c>
      <c r="L311" s="467"/>
      <c r="M311" s="467"/>
      <c r="N311" s="38">
        <f>N312</f>
        <v>5391.8620000000001</v>
      </c>
      <c r="O311" s="38">
        <f>O312</f>
        <v>5391.1750000000002</v>
      </c>
      <c r="P311" s="38">
        <f>P312</f>
        <v>4777.9210000000003</v>
      </c>
      <c r="Q311" s="38">
        <f t="shared" ref="Q311:R311" si="47">Q312</f>
        <v>4500.3</v>
      </c>
      <c r="R311" s="38">
        <f t="shared" si="47"/>
        <v>4500.3</v>
      </c>
    </row>
    <row r="312" spans="1:18" s="115" customFormat="1" ht="36">
      <c r="A312" s="37" t="s">
        <v>643</v>
      </c>
      <c r="B312" s="467">
        <v>1503</v>
      </c>
      <c r="C312" s="37" t="s">
        <v>31</v>
      </c>
      <c r="D312" s="37" t="s">
        <v>31</v>
      </c>
      <c r="E312" s="37" t="s">
        <v>31</v>
      </c>
      <c r="F312" s="37" t="s">
        <v>31</v>
      </c>
      <c r="G312" s="37" t="s">
        <v>31</v>
      </c>
      <c r="H312" s="37" t="s">
        <v>31</v>
      </c>
      <c r="I312" s="37" t="s">
        <v>31</v>
      </c>
      <c r="J312" s="37" t="s">
        <v>31</v>
      </c>
      <c r="K312" s="37" t="s">
        <v>31</v>
      </c>
      <c r="L312" s="467"/>
      <c r="M312" s="467"/>
      <c r="N312" s="38">
        <f>SUM(N314:N327)</f>
        <v>5391.8620000000001</v>
      </c>
      <c r="O312" s="38">
        <f>SUM(O314:O327)</f>
        <v>5391.1750000000002</v>
      </c>
      <c r="P312" s="38">
        <f>SUM(P314:P327)</f>
        <v>4777.9210000000003</v>
      </c>
      <c r="Q312" s="38">
        <f t="shared" ref="Q312:R312" si="48">SUM(Q314:Q327)</f>
        <v>4500.3</v>
      </c>
      <c r="R312" s="38">
        <f t="shared" si="48"/>
        <v>4500.3</v>
      </c>
    </row>
    <row r="313" spans="1:18" s="115" customFormat="1" ht="12">
      <c r="A313" s="37" t="s">
        <v>97</v>
      </c>
      <c r="B313" s="467"/>
      <c r="C313" s="37"/>
      <c r="D313" s="37"/>
      <c r="E313" s="37"/>
      <c r="F313" s="37"/>
      <c r="G313" s="37"/>
      <c r="H313" s="37"/>
      <c r="I313" s="37"/>
      <c r="J313" s="37"/>
      <c r="K313" s="37"/>
      <c r="L313" s="467"/>
      <c r="M313" s="467"/>
      <c r="N313" s="38"/>
      <c r="O313" s="38"/>
      <c r="P313" s="38"/>
      <c r="Q313" s="38"/>
      <c r="R313" s="169"/>
    </row>
    <row r="314" spans="1:18" s="115" customFormat="1" ht="177.75" customHeight="1">
      <c r="A314" s="52"/>
      <c r="B314" s="508"/>
      <c r="C314" s="477" t="s">
        <v>56</v>
      </c>
      <c r="D314" s="477" t="s">
        <v>366</v>
      </c>
      <c r="E314" s="516" t="s">
        <v>145</v>
      </c>
      <c r="F314" s="559" t="s">
        <v>184</v>
      </c>
      <c r="G314" s="477" t="s">
        <v>185</v>
      </c>
      <c r="H314" s="516" t="s">
        <v>118</v>
      </c>
      <c r="I314" s="305" t="s">
        <v>1242</v>
      </c>
      <c r="J314" s="136" t="s">
        <v>68</v>
      </c>
      <c r="K314" s="136" t="s">
        <v>1243</v>
      </c>
      <c r="L314" s="508" t="s">
        <v>23</v>
      </c>
      <c r="M314" s="508" t="s">
        <v>41</v>
      </c>
      <c r="N314" s="20">
        <v>1000</v>
      </c>
      <c r="O314" s="20">
        <v>1000</v>
      </c>
      <c r="P314" s="20">
        <v>1000</v>
      </c>
      <c r="Q314" s="20">
        <v>1000</v>
      </c>
      <c r="R314" s="170">
        <v>1000</v>
      </c>
    </row>
    <row r="315" spans="1:18" s="115" customFormat="1" ht="216.75" customHeight="1">
      <c r="A315" s="45"/>
      <c r="B315" s="509" t="s">
        <v>183</v>
      </c>
      <c r="C315" s="81"/>
      <c r="D315" s="81"/>
      <c r="E315" s="81"/>
      <c r="F315" s="552"/>
      <c r="G315" s="81"/>
      <c r="H315" s="81"/>
      <c r="I315" s="301" t="s">
        <v>1393</v>
      </c>
      <c r="J315" s="521" t="s">
        <v>68</v>
      </c>
      <c r="K315" s="521" t="s">
        <v>473</v>
      </c>
      <c r="L315" s="508" t="s">
        <v>23</v>
      </c>
      <c r="M315" s="508" t="s">
        <v>41</v>
      </c>
      <c r="N315" s="53">
        <v>1000</v>
      </c>
      <c r="O315" s="53">
        <v>1000</v>
      </c>
      <c r="P315" s="53">
        <v>1000</v>
      </c>
      <c r="Q315" s="53">
        <v>1500</v>
      </c>
      <c r="R315" s="171">
        <v>1500</v>
      </c>
    </row>
    <row r="316" spans="1:18" s="115" customFormat="1" ht="46.5" customHeight="1">
      <c r="A316" s="45"/>
      <c r="B316" s="509"/>
      <c r="C316" s="552" t="s">
        <v>531</v>
      </c>
      <c r="D316" s="552" t="s">
        <v>844</v>
      </c>
      <c r="E316" s="552" t="s">
        <v>532</v>
      </c>
      <c r="F316" s="552" t="s">
        <v>1316</v>
      </c>
      <c r="G316" s="552" t="s">
        <v>1317</v>
      </c>
      <c r="H316" s="552" t="s">
        <v>1345</v>
      </c>
      <c r="I316" s="453" t="s">
        <v>542</v>
      </c>
      <c r="J316" s="453" t="s">
        <v>68</v>
      </c>
      <c r="K316" s="453" t="s">
        <v>421</v>
      </c>
      <c r="L316" s="508" t="s">
        <v>23</v>
      </c>
      <c r="M316" s="508" t="s">
        <v>41</v>
      </c>
      <c r="N316" s="53">
        <v>0</v>
      </c>
      <c r="O316" s="53"/>
      <c r="P316" s="53"/>
      <c r="Q316" s="53"/>
      <c r="R316" s="171"/>
    </row>
    <row r="317" spans="1:18" s="115" customFormat="1" ht="46.5" customHeight="1">
      <c r="A317" s="45"/>
      <c r="B317" s="509"/>
      <c r="C317" s="552"/>
      <c r="D317" s="552"/>
      <c r="E317" s="552"/>
      <c r="F317" s="552"/>
      <c r="G317" s="552"/>
      <c r="H317" s="552"/>
      <c r="I317" s="453" t="s">
        <v>91</v>
      </c>
      <c r="J317" s="453" t="s">
        <v>68</v>
      </c>
      <c r="K317" s="453" t="s">
        <v>71</v>
      </c>
      <c r="L317" s="508" t="s">
        <v>23</v>
      </c>
      <c r="M317" s="508" t="s">
        <v>41</v>
      </c>
      <c r="N317" s="53">
        <v>0</v>
      </c>
      <c r="O317" s="53"/>
      <c r="P317" s="53"/>
      <c r="Q317" s="53"/>
      <c r="R317" s="171"/>
    </row>
    <row r="318" spans="1:18" s="115" customFormat="1" ht="60" customHeight="1">
      <c r="A318" s="45"/>
      <c r="B318" s="509" t="s">
        <v>419</v>
      </c>
      <c r="C318" s="552"/>
      <c r="D318" s="552"/>
      <c r="E318" s="552"/>
      <c r="F318" s="552" t="s">
        <v>1383</v>
      </c>
      <c r="G318" s="453" t="s">
        <v>1384</v>
      </c>
      <c r="H318" s="503" t="s">
        <v>1345</v>
      </c>
      <c r="I318" s="552" t="s">
        <v>1385</v>
      </c>
      <c r="J318" s="552" t="s">
        <v>68</v>
      </c>
      <c r="K318" s="552" t="s">
        <v>1386</v>
      </c>
      <c r="L318" s="508" t="s">
        <v>23</v>
      </c>
      <c r="M318" s="508" t="s">
        <v>41</v>
      </c>
      <c r="N318" s="53">
        <v>440.404</v>
      </c>
      <c r="O318" s="53">
        <v>440.404</v>
      </c>
      <c r="P318" s="53">
        <v>400.48</v>
      </c>
      <c r="Q318" s="53">
        <v>0</v>
      </c>
      <c r="R318" s="53">
        <v>0</v>
      </c>
    </row>
    <row r="319" spans="1:18" s="115" customFormat="1" ht="12">
      <c r="A319" s="45"/>
      <c r="B319" s="509" t="s">
        <v>418</v>
      </c>
      <c r="C319" s="552"/>
      <c r="D319" s="552"/>
      <c r="E319" s="552"/>
      <c r="F319" s="552"/>
      <c r="G319" s="181"/>
      <c r="H319" s="181"/>
      <c r="I319" s="552"/>
      <c r="J319" s="552"/>
      <c r="K319" s="552"/>
      <c r="L319" s="368" t="s">
        <v>23</v>
      </c>
      <c r="M319" s="368" t="s">
        <v>41</v>
      </c>
      <c r="N319" s="53">
        <v>245.55600000000001</v>
      </c>
      <c r="O319" s="53">
        <v>245.55600000000001</v>
      </c>
      <c r="P319" s="53">
        <v>377.14100000000002</v>
      </c>
      <c r="Q319" s="53">
        <v>0</v>
      </c>
      <c r="R319" s="53">
        <v>0</v>
      </c>
    </row>
    <row r="320" spans="1:18" s="115" customFormat="1" ht="60" customHeight="1">
      <c r="A320" s="45"/>
      <c r="B320" s="509"/>
      <c r="C320" s="552"/>
      <c r="D320" s="552"/>
      <c r="E320" s="552"/>
      <c r="F320" s="552"/>
      <c r="G320" s="181"/>
      <c r="H320" s="181"/>
      <c r="I320" s="453" t="s">
        <v>125</v>
      </c>
      <c r="J320" s="453" t="s">
        <v>423</v>
      </c>
      <c r="K320" s="453" t="s">
        <v>424</v>
      </c>
      <c r="L320" s="508" t="s">
        <v>23</v>
      </c>
      <c r="M320" s="508" t="s">
        <v>41</v>
      </c>
      <c r="N320" s="53">
        <f>5+385.04</f>
        <v>390.04</v>
      </c>
      <c r="O320" s="53">
        <f>5+385.04</f>
        <v>390.04</v>
      </c>
      <c r="P320" s="53">
        <f>400.48+17.62</f>
        <v>418.1</v>
      </c>
      <c r="Q320" s="53">
        <v>418.1</v>
      </c>
      <c r="R320" s="53">
        <v>418.1</v>
      </c>
    </row>
    <row r="321" spans="1:18" s="115" customFormat="1" ht="72">
      <c r="A321" s="45"/>
      <c r="B321" s="509"/>
      <c r="C321" s="81"/>
      <c r="D321" s="81"/>
      <c r="E321" s="81"/>
      <c r="F321" s="552"/>
      <c r="G321" s="81"/>
      <c r="H321" s="81"/>
      <c r="I321" s="301" t="s">
        <v>186</v>
      </c>
      <c r="J321" s="521" t="s">
        <v>68</v>
      </c>
      <c r="K321" s="521" t="s">
        <v>106</v>
      </c>
      <c r="L321" s="508" t="s">
        <v>23</v>
      </c>
      <c r="M321" s="508" t="s">
        <v>41</v>
      </c>
      <c r="N321" s="53">
        <v>1730.7429999999999</v>
      </c>
      <c r="O321" s="53">
        <v>1730.056</v>
      </c>
      <c r="P321" s="53">
        <v>1079.4000000000001</v>
      </c>
      <c r="Q321" s="53">
        <v>1079.4000000000001</v>
      </c>
      <c r="R321" s="53">
        <v>1079.4000000000001</v>
      </c>
    </row>
    <row r="322" spans="1:18" s="115" customFormat="1" ht="72">
      <c r="A322" s="45"/>
      <c r="B322" s="509"/>
      <c r="C322" s="81"/>
      <c r="D322" s="81"/>
      <c r="E322" s="81"/>
      <c r="F322" s="81"/>
      <c r="G322" s="81"/>
      <c r="H322" s="81"/>
      <c r="I322" s="301" t="s">
        <v>1075</v>
      </c>
      <c r="J322" s="521" t="s">
        <v>68</v>
      </c>
      <c r="K322" s="521" t="s">
        <v>373</v>
      </c>
      <c r="L322" s="459"/>
      <c r="M322" s="459"/>
      <c r="N322" s="53"/>
      <c r="O322" s="53"/>
      <c r="P322" s="53"/>
      <c r="Q322" s="53"/>
      <c r="R322" s="53"/>
    </row>
    <row r="323" spans="1:18" s="115" customFormat="1" ht="107.25" customHeight="1">
      <c r="A323" s="45"/>
      <c r="B323" s="509"/>
      <c r="C323" s="81"/>
      <c r="D323" s="81"/>
      <c r="E323" s="81"/>
      <c r="F323" s="81"/>
      <c r="G323" s="81"/>
      <c r="H323" s="81"/>
      <c r="I323" s="301" t="s">
        <v>991</v>
      </c>
      <c r="J323" s="521" t="s">
        <v>68</v>
      </c>
      <c r="K323" s="521" t="s">
        <v>990</v>
      </c>
      <c r="L323" s="509" t="s">
        <v>23</v>
      </c>
      <c r="M323" s="509" t="s">
        <v>41</v>
      </c>
      <c r="N323" s="53">
        <v>20</v>
      </c>
      <c r="O323" s="53">
        <v>20</v>
      </c>
      <c r="P323" s="53">
        <v>300</v>
      </c>
      <c r="Q323" s="53">
        <v>300</v>
      </c>
      <c r="R323" s="53">
        <v>300</v>
      </c>
    </row>
    <row r="324" spans="1:18" s="115" customFormat="1" ht="60" customHeight="1">
      <c r="A324" s="45"/>
      <c r="B324" s="509"/>
      <c r="C324" s="453" t="s">
        <v>56</v>
      </c>
      <c r="D324" s="453" t="s">
        <v>798</v>
      </c>
      <c r="E324" s="503" t="s">
        <v>145</v>
      </c>
      <c r="F324" s="81"/>
      <c r="G324" s="81"/>
      <c r="H324" s="81"/>
      <c r="I324" s="301" t="s">
        <v>797</v>
      </c>
      <c r="J324" s="521" t="s">
        <v>794</v>
      </c>
      <c r="K324" s="521" t="s">
        <v>60</v>
      </c>
      <c r="L324" s="509" t="s">
        <v>23</v>
      </c>
      <c r="M324" s="509" t="s">
        <v>33</v>
      </c>
      <c r="N324" s="53">
        <v>0</v>
      </c>
      <c r="O324" s="53">
        <v>0</v>
      </c>
      <c r="P324" s="53">
        <v>2.8</v>
      </c>
      <c r="Q324" s="53">
        <v>2.8</v>
      </c>
      <c r="R324" s="58">
        <v>2.8</v>
      </c>
    </row>
    <row r="325" spans="1:18" s="114" customFormat="1" ht="72" customHeight="1">
      <c r="A325" s="45"/>
      <c r="B325" s="459"/>
      <c r="C325" s="578" t="s">
        <v>1319</v>
      </c>
      <c r="D325" s="554" t="s">
        <v>1320</v>
      </c>
      <c r="E325" s="652" t="s">
        <v>1321</v>
      </c>
      <c r="F325" s="552" t="s">
        <v>1318</v>
      </c>
      <c r="G325" s="552" t="s">
        <v>1303</v>
      </c>
      <c r="H325" s="632" t="s">
        <v>1345</v>
      </c>
      <c r="I325" s="432" t="s">
        <v>122</v>
      </c>
      <c r="J325" s="449" t="s">
        <v>68</v>
      </c>
      <c r="K325" s="295" t="s">
        <v>123</v>
      </c>
      <c r="L325" s="84" t="s">
        <v>23</v>
      </c>
      <c r="M325" s="506" t="s">
        <v>41</v>
      </c>
      <c r="N325" s="167">
        <f>12.747+27.619</f>
        <v>40.366</v>
      </c>
      <c r="O325" s="167">
        <f>12.747+27.619</f>
        <v>40.366</v>
      </c>
      <c r="P325" s="167">
        <v>200</v>
      </c>
      <c r="Q325" s="167">
        <v>200</v>
      </c>
      <c r="R325" s="167">
        <v>200</v>
      </c>
    </row>
    <row r="326" spans="1:18" s="114" customFormat="1" ht="48.75" customHeight="1">
      <c r="A326" s="45"/>
      <c r="B326" s="459">
        <v>601</v>
      </c>
      <c r="C326" s="578"/>
      <c r="D326" s="571"/>
      <c r="E326" s="652"/>
      <c r="F326" s="552"/>
      <c r="G326" s="552"/>
      <c r="H326" s="632"/>
      <c r="I326" s="642" t="s">
        <v>973</v>
      </c>
      <c r="J326" s="642" t="s">
        <v>68</v>
      </c>
      <c r="K326" s="642" t="s">
        <v>1464</v>
      </c>
      <c r="L326" s="57"/>
      <c r="M326" s="507"/>
      <c r="N326" s="168">
        <v>435.54500000000002</v>
      </c>
      <c r="O326" s="168">
        <v>435.54500000000002</v>
      </c>
      <c r="P326" s="168">
        <v>0</v>
      </c>
      <c r="Q326" s="168">
        <v>0</v>
      </c>
      <c r="R326" s="168">
        <v>0</v>
      </c>
    </row>
    <row r="327" spans="1:18" s="114" customFormat="1" ht="48.75" customHeight="1">
      <c r="A327" s="48"/>
      <c r="B327" s="72" t="s">
        <v>558</v>
      </c>
      <c r="C327" s="579"/>
      <c r="D327" s="112"/>
      <c r="E327" s="306"/>
      <c r="F327" s="560"/>
      <c r="G327" s="560"/>
      <c r="H327" s="658"/>
      <c r="I327" s="643"/>
      <c r="J327" s="643"/>
      <c r="K327" s="643"/>
      <c r="L327" s="190"/>
      <c r="M327" s="146"/>
      <c r="N327" s="385">
        <v>89.207999999999998</v>
      </c>
      <c r="O327" s="385">
        <v>89.207999999999998</v>
      </c>
      <c r="P327" s="385">
        <v>0</v>
      </c>
      <c r="Q327" s="385">
        <v>0</v>
      </c>
      <c r="R327" s="385">
        <v>0</v>
      </c>
    </row>
    <row r="328" spans="1:18" s="115" customFormat="1" ht="96">
      <c r="A328" s="39" t="s">
        <v>644</v>
      </c>
      <c r="B328" s="176" t="s">
        <v>645</v>
      </c>
      <c r="C328" s="193"/>
      <c r="D328" s="193"/>
      <c r="E328" s="193"/>
      <c r="F328" s="193"/>
      <c r="G328" s="193"/>
      <c r="H328" s="193"/>
      <c r="I328" s="262"/>
      <c r="J328" s="254"/>
      <c r="K328" s="254"/>
      <c r="L328" s="40"/>
      <c r="M328" s="40"/>
      <c r="N328" s="242">
        <f t="shared" ref="N328:O328" si="49">SUM(N329:N329)+N330+N331</f>
        <v>1860.2340000000002</v>
      </c>
      <c r="O328" s="242">
        <f t="shared" si="49"/>
        <v>1854.0060000000001</v>
      </c>
      <c r="P328" s="242">
        <f>SUM(P329:P329)+P330+P331</f>
        <v>2269.884</v>
      </c>
      <c r="Q328" s="242">
        <f t="shared" ref="Q328:R328" si="50">SUM(Q329:Q329)+Q330+Q331</f>
        <v>2143.9</v>
      </c>
      <c r="R328" s="242">
        <f t="shared" si="50"/>
        <v>2143.9</v>
      </c>
    </row>
    <row r="329" spans="1:18" s="115" customFormat="1" ht="72">
      <c r="A329" s="451" t="s">
        <v>646</v>
      </c>
      <c r="B329" s="467">
        <v>1601</v>
      </c>
      <c r="C329" s="477" t="s">
        <v>187</v>
      </c>
      <c r="D329" s="477" t="s">
        <v>188</v>
      </c>
      <c r="E329" s="477" t="s">
        <v>189</v>
      </c>
      <c r="F329" s="477"/>
      <c r="G329" s="477"/>
      <c r="H329" s="477"/>
      <c r="I329" s="305" t="s">
        <v>190</v>
      </c>
      <c r="J329" s="136" t="s">
        <v>68</v>
      </c>
      <c r="K329" s="136" t="s">
        <v>191</v>
      </c>
      <c r="L329" s="467" t="s">
        <v>32</v>
      </c>
      <c r="M329" s="467" t="s">
        <v>26</v>
      </c>
      <c r="N329" s="38">
        <v>1679.5350000000001</v>
      </c>
      <c r="O329" s="38">
        <v>1673.307</v>
      </c>
      <c r="P329" s="38">
        <v>2080.5</v>
      </c>
      <c r="Q329" s="38">
        <v>1954.5</v>
      </c>
      <c r="R329" s="38">
        <v>1954.5</v>
      </c>
    </row>
    <row r="330" spans="1:18" s="115" customFormat="1" ht="108.75" hidden="1" customHeight="1">
      <c r="A330" s="37" t="s">
        <v>647</v>
      </c>
      <c r="B330" s="467">
        <v>1602</v>
      </c>
      <c r="C330" s="461" t="s">
        <v>367</v>
      </c>
      <c r="D330" s="461" t="s">
        <v>193</v>
      </c>
      <c r="E330" s="461" t="s">
        <v>194</v>
      </c>
      <c r="F330" s="461" t="s">
        <v>426</v>
      </c>
      <c r="G330" s="461" t="s">
        <v>427</v>
      </c>
      <c r="H330" s="461" t="s">
        <v>428</v>
      </c>
      <c r="I330" s="305" t="s">
        <v>195</v>
      </c>
      <c r="J330" s="136" t="s">
        <v>70</v>
      </c>
      <c r="K330" s="136" t="s">
        <v>196</v>
      </c>
      <c r="L330" s="467" t="s">
        <v>23</v>
      </c>
      <c r="M330" s="467" t="s">
        <v>37</v>
      </c>
      <c r="N330" s="38">
        <v>0</v>
      </c>
      <c r="O330" s="38"/>
      <c r="P330" s="38">
        <v>0</v>
      </c>
      <c r="Q330" s="38"/>
      <c r="R330" s="38">
        <v>0</v>
      </c>
    </row>
    <row r="331" spans="1:18" s="115" customFormat="1" ht="97.5" customHeight="1">
      <c r="A331" s="37" t="s">
        <v>648</v>
      </c>
      <c r="B331" s="467">
        <v>1604</v>
      </c>
      <c r="C331" s="307" t="s">
        <v>56</v>
      </c>
      <c r="D331" s="308" t="s">
        <v>365</v>
      </c>
      <c r="E331" s="309" t="s">
        <v>145</v>
      </c>
      <c r="F331" s="310" t="s">
        <v>204</v>
      </c>
      <c r="G331" s="311" t="s">
        <v>205</v>
      </c>
      <c r="H331" s="311" t="s">
        <v>206</v>
      </c>
      <c r="I331" s="311" t="s">
        <v>207</v>
      </c>
      <c r="J331" s="311" t="s">
        <v>151</v>
      </c>
      <c r="K331" s="312" t="s">
        <v>208</v>
      </c>
      <c r="L331" s="467" t="s">
        <v>32</v>
      </c>
      <c r="M331" s="467" t="s">
        <v>26</v>
      </c>
      <c r="N331" s="38">
        <v>180.69900000000001</v>
      </c>
      <c r="O331" s="38">
        <v>180.69900000000001</v>
      </c>
      <c r="P331" s="38">
        <v>189.38399999999999</v>
      </c>
      <c r="Q331" s="38">
        <v>189.4</v>
      </c>
      <c r="R331" s="38">
        <v>189.4</v>
      </c>
    </row>
    <row r="332" spans="1:18" s="115" customFormat="1" ht="121.5" customHeight="1">
      <c r="A332" s="37" t="s">
        <v>5</v>
      </c>
      <c r="B332" s="467">
        <v>1700</v>
      </c>
      <c r="C332" s="467" t="s">
        <v>29</v>
      </c>
      <c r="D332" s="467" t="s">
        <v>29</v>
      </c>
      <c r="E332" s="467" t="s">
        <v>29</v>
      </c>
      <c r="F332" s="467" t="s">
        <v>29</v>
      </c>
      <c r="G332" s="467" t="s">
        <v>29</v>
      </c>
      <c r="H332" s="467" t="s">
        <v>29</v>
      </c>
      <c r="I332" s="467" t="s">
        <v>29</v>
      </c>
      <c r="J332" s="467" t="s">
        <v>29</v>
      </c>
      <c r="K332" s="467" t="s">
        <v>29</v>
      </c>
      <c r="L332" s="467"/>
      <c r="M332" s="467"/>
      <c r="N332" s="38">
        <f>N333+N341</f>
        <v>83440.095000000001</v>
      </c>
      <c r="O332" s="38">
        <f>O333+O341</f>
        <v>75798.633000000002</v>
      </c>
      <c r="P332" s="38">
        <f>P333+P341</f>
        <v>81633.436000000016</v>
      </c>
      <c r="Q332" s="38">
        <f>Q333+Q341</f>
        <v>85727.292000000001</v>
      </c>
      <c r="R332" s="38">
        <f>R333+R341</f>
        <v>85787.491999999998</v>
      </c>
    </row>
    <row r="333" spans="1:18" s="115" customFormat="1" ht="24.75" customHeight="1">
      <c r="A333" s="37" t="s">
        <v>649</v>
      </c>
      <c r="B333" s="467">
        <v>1701</v>
      </c>
      <c r="C333" s="467" t="s">
        <v>29</v>
      </c>
      <c r="D333" s="467" t="s">
        <v>29</v>
      </c>
      <c r="E333" s="467" t="s">
        <v>29</v>
      </c>
      <c r="F333" s="467" t="s">
        <v>29</v>
      </c>
      <c r="G333" s="467" t="s">
        <v>29</v>
      </c>
      <c r="H333" s="467" t="s">
        <v>29</v>
      </c>
      <c r="I333" s="467" t="s">
        <v>29</v>
      </c>
      <c r="J333" s="467" t="s">
        <v>29</v>
      </c>
      <c r="K333" s="467" t="s">
        <v>29</v>
      </c>
      <c r="L333" s="467"/>
      <c r="M333" s="467"/>
      <c r="N333" s="38">
        <f>SUM(N335:N337)</f>
        <v>812.6</v>
      </c>
      <c r="O333" s="38">
        <f>SUM(O335:O337)</f>
        <v>581.96899999999994</v>
      </c>
      <c r="P333" s="38">
        <f>SUM(P335:P337)</f>
        <v>1859.2</v>
      </c>
      <c r="Q333" s="38">
        <f t="shared" ref="Q333:R333" si="51">SUM(Q335:Q337)</f>
        <v>1103.5</v>
      </c>
      <c r="R333" s="38">
        <f t="shared" si="51"/>
        <v>1258.7</v>
      </c>
    </row>
    <row r="334" spans="1:18" s="115" customFormat="1" ht="12">
      <c r="A334" s="39" t="s">
        <v>97</v>
      </c>
      <c r="B334" s="40"/>
      <c r="C334" s="40"/>
      <c r="D334" s="40"/>
      <c r="E334" s="40"/>
      <c r="F334" s="40"/>
      <c r="G334" s="40"/>
      <c r="H334" s="40"/>
      <c r="I334" s="40"/>
      <c r="J334" s="40"/>
      <c r="K334" s="40"/>
      <c r="L334" s="457"/>
      <c r="M334" s="457"/>
      <c r="N334" s="38"/>
      <c r="O334" s="38"/>
      <c r="P334" s="38"/>
      <c r="Q334" s="38"/>
      <c r="R334" s="38"/>
    </row>
    <row r="335" spans="1:18" s="116" customFormat="1" ht="12">
      <c r="A335" s="41"/>
      <c r="B335" s="42"/>
      <c r="C335" s="42"/>
      <c r="D335" s="42"/>
      <c r="E335" s="42"/>
      <c r="F335" s="42"/>
      <c r="G335" s="42"/>
      <c r="H335" s="42"/>
      <c r="I335" s="42"/>
      <c r="J335" s="42"/>
      <c r="K335" s="42"/>
      <c r="L335" s="83" t="s">
        <v>32</v>
      </c>
      <c r="M335" s="83" t="s">
        <v>35</v>
      </c>
      <c r="N335" s="62">
        <f>N338</f>
        <v>26</v>
      </c>
      <c r="O335" s="62">
        <f>O338</f>
        <v>7.3</v>
      </c>
      <c r="P335" s="62">
        <f>P338</f>
        <v>17</v>
      </c>
      <c r="Q335" s="62">
        <f t="shared" ref="Q335:R335" si="52">Q338</f>
        <v>18.2</v>
      </c>
      <c r="R335" s="62">
        <f t="shared" si="52"/>
        <v>130</v>
      </c>
    </row>
    <row r="336" spans="1:18" s="116" customFormat="1" ht="12">
      <c r="A336" s="41"/>
      <c r="B336" s="42"/>
      <c r="C336" s="42"/>
      <c r="D336" s="42"/>
      <c r="E336" s="42"/>
      <c r="F336" s="42"/>
      <c r="G336" s="42"/>
      <c r="H336" s="42"/>
      <c r="I336" s="42"/>
      <c r="J336" s="42"/>
      <c r="K336" s="42"/>
      <c r="L336" s="83" t="s">
        <v>32</v>
      </c>
      <c r="M336" s="83" t="s">
        <v>26</v>
      </c>
      <c r="N336" s="62">
        <f t="shared" ref="N336:O336" si="53">N340</f>
        <v>0</v>
      </c>
      <c r="O336" s="62">
        <f t="shared" si="53"/>
        <v>0</v>
      </c>
      <c r="P336" s="62">
        <f>P340</f>
        <v>798.7</v>
      </c>
      <c r="Q336" s="62">
        <f t="shared" ref="Q336:R336" si="54">Q340</f>
        <v>0</v>
      </c>
      <c r="R336" s="62">
        <f t="shared" si="54"/>
        <v>0</v>
      </c>
    </row>
    <row r="337" spans="1:18" s="116" customFormat="1" ht="12">
      <c r="A337" s="41"/>
      <c r="B337" s="42"/>
      <c r="C337" s="42"/>
      <c r="D337" s="42"/>
      <c r="E337" s="42"/>
      <c r="F337" s="42"/>
      <c r="G337" s="42"/>
      <c r="H337" s="42"/>
      <c r="I337" s="42"/>
      <c r="J337" s="42"/>
      <c r="K337" s="42"/>
      <c r="L337" s="83" t="s">
        <v>23</v>
      </c>
      <c r="M337" s="83" t="s">
        <v>37</v>
      </c>
      <c r="N337" s="62">
        <f>N339</f>
        <v>786.6</v>
      </c>
      <c r="O337" s="62">
        <f>O339</f>
        <v>574.66899999999998</v>
      </c>
      <c r="P337" s="62">
        <f>P339</f>
        <v>1043.5</v>
      </c>
      <c r="Q337" s="62">
        <f t="shared" ref="Q337:R337" si="55">Q339</f>
        <v>1085.3</v>
      </c>
      <c r="R337" s="62">
        <f t="shared" si="55"/>
        <v>1128.7</v>
      </c>
    </row>
    <row r="338" spans="1:18" s="114" customFormat="1" ht="192">
      <c r="A338" s="45" t="s">
        <v>1128</v>
      </c>
      <c r="B338" s="459" t="s">
        <v>650</v>
      </c>
      <c r="C338" s="310" t="s">
        <v>209</v>
      </c>
      <c r="D338" s="311" t="s">
        <v>210</v>
      </c>
      <c r="E338" s="313" t="s">
        <v>211</v>
      </c>
      <c r="F338" s="311" t="s">
        <v>212</v>
      </c>
      <c r="G338" s="311" t="s">
        <v>124</v>
      </c>
      <c r="H338" s="311" t="s">
        <v>63</v>
      </c>
      <c r="I338" s="311" t="s">
        <v>213</v>
      </c>
      <c r="J338" s="311" t="s">
        <v>89</v>
      </c>
      <c r="K338" s="312" t="s">
        <v>214</v>
      </c>
      <c r="L338" s="447" t="s">
        <v>32</v>
      </c>
      <c r="M338" s="447" t="s">
        <v>35</v>
      </c>
      <c r="N338" s="20">
        <v>26</v>
      </c>
      <c r="O338" s="20">
        <v>7.3</v>
      </c>
      <c r="P338" s="20">
        <v>17</v>
      </c>
      <c r="Q338" s="20">
        <v>18.2</v>
      </c>
      <c r="R338" s="170">
        <v>130</v>
      </c>
    </row>
    <row r="339" spans="1:18" s="114" customFormat="1" ht="168">
      <c r="A339" s="101" t="s">
        <v>710</v>
      </c>
      <c r="B339" s="497" t="s">
        <v>711</v>
      </c>
      <c r="C339" s="466" t="s">
        <v>240</v>
      </c>
      <c r="D339" s="452" t="s">
        <v>188</v>
      </c>
      <c r="E339" s="452" t="s">
        <v>241</v>
      </c>
      <c r="F339" s="452" t="s">
        <v>242</v>
      </c>
      <c r="G339" s="452" t="s">
        <v>243</v>
      </c>
      <c r="H339" s="452" t="s">
        <v>218</v>
      </c>
      <c r="I339" s="452" t="s">
        <v>415</v>
      </c>
      <c r="J339" s="455" t="s">
        <v>244</v>
      </c>
      <c r="K339" s="320" t="s">
        <v>245</v>
      </c>
      <c r="L339" s="497">
        <v>10</v>
      </c>
      <c r="M339" s="518" t="s">
        <v>37</v>
      </c>
      <c r="N339" s="269">
        <v>786.6</v>
      </c>
      <c r="O339" s="269">
        <v>574.66899999999998</v>
      </c>
      <c r="P339" s="269">
        <v>1043.5</v>
      </c>
      <c r="Q339" s="269">
        <v>1085.3</v>
      </c>
      <c r="R339" s="269">
        <v>1128.7</v>
      </c>
    </row>
    <row r="340" spans="1:18" s="114" customFormat="1" ht="36">
      <c r="A340" s="99" t="s">
        <v>1417</v>
      </c>
      <c r="B340" s="100" t="s">
        <v>1418</v>
      </c>
      <c r="C340" s="472"/>
      <c r="D340" s="472"/>
      <c r="E340" s="472"/>
      <c r="F340" s="472"/>
      <c r="G340" s="472"/>
      <c r="H340" s="472"/>
      <c r="I340" s="472" t="s">
        <v>1270</v>
      </c>
      <c r="J340" s="184"/>
      <c r="K340" s="184"/>
      <c r="L340" s="100" t="s">
        <v>32</v>
      </c>
      <c r="M340" s="100" t="s">
        <v>26</v>
      </c>
      <c r="N340" s="105">
        <v>0</v>
      </c>
      <c r="O340" s="105">
        <v>0</v>
      </c>
      <c r="P340" s="105">
        <v>798.7</v>
      </c>
      <c r="Q340" s="105">
        <v>0</v>
      </c>
      <c r="R340" s="105">
        <v>0</v>
      </c>
    </row>
    <row r="341" spans="1:18" s="115" customFormat="1" ht="36">
      <c r="A341" s="55" t="s">
        <v>651</v>
      </c>
      <c r="B341" s="468">
        <v>1800</v>
      </c>
      <c r="C341" s="264"/>
      <c r="D341" s="264"/>
      <c r="E341" s="265"/>
      <c r="F341" s="264"/>
      <c r="G341" s="264"/>
      <c r="H341" s="264"/>
      <c r="I341" s="264"/>
      <c r="J341" s="264"/>
      <c r="K341" s="264"/>
      <c r="L341" s="468"/>
      <c r="M341" s="468"/>
      <c r="N341" s="56">
        <f>SUM(N343:N351)</f>
        <v>82627.494999999995</v>
      </c>
      <c r="O341" s="56">
        <f>SUM(O343:O351)</f>
        <v>75216.664000000004</v>
      </c>
      <c r="P341" s="56">
        <f>SUM(P343:P351)</f>
        <v>79774.236000000019</v>
      </c>
      <c r="Q341" s="56">
        <f t="shared" ref="Q341:R341" si="56">SUM(Q343:Q351)</f>
        <v>84623.792000000001</v>
      </c>
      <c r="R341" s="56">
        <f t="shared" si="56"/>
        <v>84528.792000000001</v>
      </c>
    </row>
    <row r="342" spans="1:18" s="115" customFormat="1" ht="12">
      <c r="A342" s="39" t="s">
        <v>97</v>
      </c>
      <c r="B342" s="40"/>
      <c r="C342" s="40"/>
      <c r="D342" s="40"/>
      <c r="E342" s="40"/>
      <c r="F342" s="40"/>
      <c r="G342" s="40"/>
      <c r="H342" s="40"/>
      <c r="I342" s="40"/>
      <c r="J342" s="40"/>
      <c r="K342" s="40"/>
      <c r="L342" s="457"/>
      <c r="M342" s="457"/>
      <c r="N342" s="38"/>
      <c r="O342" s="38"/>
      <c r="P342" s="38"/>
      <c r="Q342" s="38"/>
      <c r="R342" s="38"/>
    </row>
    <row r="343" spans="1:18" s="116" customFormat="1" ht="12">
      <c r="A343" s="41"/>
      <c r="B343" s="42"/>
      <c r="C343" s="42"/>
      <c r="D343" s="42"/>
      <c r="E343" s="42"/>
      <c r="F343" s="42"/>
      <c r="G343" s="42"/>
      <c r="H343" s="42"/>
      <c r="I343" s="42"/>
      <c r="J343" s="42"/>
      <c r="K343" s="42"/>
      <c r="L343" s="83" t="s">
        <v>32</v>
      </c>
      <c r="M343" s="83" t="s">
        <v>37</v>
      </c>
      <c r="N343" s="62">
        <f>N353+N367</f>
        <v>11687.2</v>
      </c>
      <c r="O343" s="62">
        <f>O353+O367</f>
        <v>11407.433000000001</v>
      </c>
      <c r="P343" s="62">
        <f>P353+P367</f>
        <v>12441.099999999999</v>
      </c>
      <c r="Q343" s="62">
        <f t="shared" ref="Q343:R343" si="57">Q353+Q367</f>
        <v>12441.099999999999</v>
      </c>
      <c r="R343" s="62">
        <f t="shared" si="57"/>
        <v>12441.099999999999</v>
      </c>
    </row>
    <row r="344" spans="1:18" s="116" customFormat="1" ht="12">
      <c r="A344" s="41"/>
      <c r="B344" s="42"/>
      <c r="C344" s="42"/>
      <c r="D344" s="42"/>
      <c r="E344" s="42"/>
      <c r="F344" s="42"/>
      <c r="G344" s="42"/>
      <c r="H344" s="42"/>
      <c r="I344" s="42"/>
      <c r="J344" s="42"/>
      <c r="K344" s="42"/>
      <c r="L344" s="83" t="s">
        <v>37</v>
      </c>
      <c r="M344" s="83" t="s">
        <v>32</v>
      </c>
      <c r="N344" s="62">
        <f>N360+N374</f>
        <v>205.5</v>
      </c>
      <c r="O344" s="62">
        <f>O360+O374</f>
        <v>120.86199999999999</v>
      </c>
      <c r="P344" s="62">
        <f>P360+P374</f>
        <v>212</v>
      </c>
      <c r="Q344" s="62">
        <f t="shared" ref="Q344:R344" si="58">Q360+Q374</f>
        <v>212</v>
      </c>
      <c r="R344" s="62">
        <f t="shared" si="58"/>
        <v>212</v>
      </c>
    </row>
    <row r="345" spans="1:18" s="116" customFormat="1" ht="12">
      <c r="A345" s="41"/>
      <c r="B345" s="42"/>
      <c r="C345" s="42"/>
      <c r="D345" s="42"/>
      <c r="E345" s="42"/>
      <c r="F345" s="42"/>
      <c r="G345" s="42"/>
      <c r="H345" s="42"/>
      <c r="I345" s="42"/>
      <c r="J345" s="42"/>
      <c r="K345" s="42"/>
      <c r="L345" s="83" t="s">
        <v>37</v>
      </c>
      <c r="M345" s="83" t="s">
        <v>35</v>
      </c>
      <c r="N345" s="62">
        <f t="shared" ref="N345:O345" si="59">N361+N375+N378+N380+N389</f>
        <v>8181.741</v>
      </c>
      <c r="O345" s="62">
        <f t="shared" si="59"/>
        <v>8140.0110000000004</v>
      </c>
      <c r="P345" s="62">
        <f>P361+P375+P378+P380+P389</f>
        <v>12878.5</v>
      </c>
      <c r="Q345" s="62">
        <f t="shared" ref="Q345:R345" si="60">Q361+Q375+Q378+Q380+Q389</f>
        <v>12377.356000000002</v>
      </c>
      <c r="R345" s="62">
        <f t="shared" si="60"/>
        <v>12357.156000000001</v>
      </c>
    </row>
    <row r="346" spans="1:18" s="116" customFormat="1" ht="12">
      <c r="A346" s="41"/>
      <c r="B346" s="42"/>
      <c r="C346" s="42"/>
      <c r="D346" s="42"/>
      <c r="E346" s="42"/>
      <c r="F346" s="42"/>
      <c r="G346" s="42"/>
      <c r="H346" s="42"/>
      <c r="I346" s="42"/>
      <c r="J346" s="42"/>
      <c r="K346" s="42"/>
      <c r="L346" s="83" t="s">
        <v>43</v>
      </c>
      <c r="M346" s="83" t="s">
        <v>32</v>
      </c>
      <c r="N346" s="62">
        <f>N381+N386+N390+N391</f>
        <v>1007.1000000000001</v>
      </c>
      <c r="O346" s="62">
        <f>O381+O386+O390+O391</f>
        <v>1007.1000000000001</v>
      </c>
      <c r="P346" s="62">
        <f>P381+P386+P390+P391</f>
        <v>929.5440000000001</v>
      </c>
      <c r="Q346" s="62">
        <f t="shared" ref="Q346:R346" si="61">Q381+Q386+Q390+Q391</f>
        <v>972.84400000000005</v>
      </c>
      <c r="R346" s="62">
        <f t="shared" si="61"/>
        <v>972.84400000000005</v>
      </c>
    </row>
    <row r="347" spans="1:18" s="116" customFormat="1" ht="12">
      <c r="A347" s="41"/>
      <c r="B347" s="42"/>
      <c r="C347" s="42"/>
      <c r="D347" s="42"/>
      <c r="E347" s="42"/>
      <c r="F347" s="42"/>
      <c r="G347" s="42"/>
      <c r="H347" s="42"/>
      <c r="I347" s="42"/>
      <c r="J347" s="42"/>
      <c r="K347" s="42"/>
      <c r="L347" s="83" t="s">
        <v>43</v>
      </c>
      <c r="M347" s="83" t="s">
        <v>36</v>
      </c>
      <c r="N347" s="62">
        <f>N382+N387+N392</f>
        <v>13749.056</v>
      </c>
      <c r="O347" s="62">
        <f>O382+O387+O392</f>
        <v>13060.865000000002</v>
      </c>
      <c r="P347" s="62">
        <f>P382+P387+P392</f>
        <v>15503.008</v>
      </c>
      <c r="Q347" s="62">
        <f t="shared" ref="Q347:R347" si="62">Q382+Q387+Q392</f>
        <v>17081.807999999997</v>
      </c>
      <c r="R347" s="62">
        <f t="shared" si="62"/>
        <v>17081.807999999997</v>
      </c>
    </row>
    <row r="348" spans="1:18" s="116" customFormat="1" ht="12">
      <c r="A348" s="41"/>
      <c r="B348" s="42"/>
      <c r="C348" s="42"/>
      <c r="D348" s="42"/>
      <c r="E348" s="42"/>
      <c r="F348" s="42"/>
      <c r="G348" s="42"/>
      <c r="H348" s="42"/>
      <c r="I348" s="42"/>
      <c r="J348" s="42"/>
      <c r="K348" s="42"/>
      <c r="L348" s="83" t="s">
        <v>43</v>
      </c>
      <c r="M348" s="83" t="s">
        <v>41</v>
      </c>
      <c r="N348" s="62">
        <f>N383</f>
        <v>52.08</v>
      </c>
      <c r="O348" s="62">
        <f>O383</f>
        <v>52.08</v>
      </c>
      <c r="P348" s="62">
        <f>P383</f>
        <v>31.248000000000001</v>
      </c>
      <c r="Q348" s="62">
        <f t="shared" ref="Q348:R348" si="63">Q383</f>
        <v>31.248000000000001</v>
      </c>
      <c r="R348" s="62">
        <f t="shared" si="63"/>
        <v>31.248000000000001</v>
      </c>
    </row>
    <row r="349" spans="1:18" s="116" customFormat="1" ht="12">
      <c r="A349" s="41"/>
      <c r="B349" s="42"/>
      <c r="C349" s="42"/>
      <c r="D349" s="42"/>
      <c r="E349" s="42"/>
      <c r="F349" s="42"/>
      <c r="G349" s="42"/>
      <c r="H349" s="42"/>
      <c r="I349" s="42"/>
      <c r="J349" s="42"/>
      <c r="K349" s="42"/>
      <c r="L349" s="83" t="s">
        <v>43</v>
      </c>
      <c r="M349" s="83" t="s">
        <v>35</v>
      </c>
      <c r="N349" s="62"/>
      <c r="O349" s="62"/>
      <c r="P349" s="62">
        <f>P363</f>
        <v>40</v>
      </c>
      <c r="Q349" s="62">
        <f t="shared" ref="Q349:R349" si="64">Q363</f>
        <v>40</v>
      </c>
      <c r="R349" s="62">
        <f t="shared" si="64"/>
        <v>40</v>
      </c>
    </row>
    <row r="350" spans="1:18" s="116" customFormat="1" ht="12">
      <c r="A350" s="41"/>
      <c r="B350" s="42"/>
      <c r="C350" s="42"/>
      <c r="D350" s="42"/>
      <c r="E350" s="42"/>
      <c r="F350" s="42"/>
      <c r="G350" s="42"/>
      <c r="H350" s="42"/>
      <c r="I350" s="42"/>
      <c r="J350" s="42"/>
      <c r="K350" s="42"/>
      <c r="L350" s="83" t="s">
        <v>23</v>
      </c>
      <c r="M350" s="83" t="s">
        <v>37</v>
      </c>
      <c r="N350" s="62">
        <f t="shared" ref="N350:O350" si="65">N364+N388+N385</f>
        <v>47726.118000000002</v>
      </c>
      <c r="O350" s="62">
        <f t="shared" si="65"/>
        <v>41409.613000000005</v>
      </c>
      <c r="P350" s="62">
        <f>P364+P388+P385</f>
        <v>37719.441000000006</v>
      </c>
      <c r="Q350" s="62">
        <f t="shared" ref="Q350:R350" si="66">Q364+Q388+Q385</f>
        <v>41448.041000000005</v>
      </c>
      <c r="R350" s="62">
        <f t="shared" si="66"/>
        <v>41373.241000000002</v>
      </c>
    </row>
    <row r="351" spans="1:18" s="116" customFormat="1" ht="12">
      <c r="A351" s="41"/>
      <c r="B351" s="42"/>
      <c r="C351" s="42"/>
      <c r="D351" s="42"/>
      <c r="E351" s="42"/>
      <c r="F351" s="42"/>
      <c r="G351" s="42"/>
      <c r="H351" s="42"/>
      <c r="I351" s="42"/>
      <c r="J351" s="42"/>
      <c r="K351" s="42"/>
      <c r="L351" s="83" t="s">
        <v>23</v>
      </c>
      <c r="M351" s="83" t="s">
        <v>33</v>
      </c>
      <c r="N351" s="62">
        <f t="shared" ref="N351:O351" si="67">N365+N377</f>
        <v>18.7</v>
      </c>
      <c r="O351" s="62">
        <f t="shared" si="67"/>
        <v>18.7</v>
      </c>
      <c r="P351" s="62">
        <f>P365+P377</f>
        <v>19.395</v>
      </c>
      <c r="Q351" s="62">
        <f t="shared" ref="Q351:R351" si="68">Q365+Q377</f>
        <v>19.395</v>
      </c>
      <c r="R351" s="62">
        <f t="shared" si="68"/>
        <v>19.395</v>
      </c>
    </row>
    <row r="352" spans="1:18" s="114" customFormat="1" ht="14.25" customHeight="1">
      <c r="A352" s="556" t="s">
        <v>712</v>
      </c>
      <c r="B352" s="491">
        <v>1801</v>
      </c>
      <c r="C352" s="472"/>
      <c r="D352" s="472"/>
      <c r="E352" s="184"/>
      <c r="F352" s="472"/>
      <c r="G352" s="472"/>
      <c r="H352" s="472"/>
      <c r="I352" s="472"/>
      <c r="J352" s="472"/>
      <c r="K352" s="472"/>
      <c r="L352" s="491"/>
      <c r="M352" s="491"/>
      <c r="N352" s="105">
        <f>SUM(N353:N365)</f>
        <v>4166.2160000000003</v>
      </c>
      <c r="O352" s="105">
        <f>SUM(O353:O365)</f>
        <v>3969.2939999999999</v>
      </c>
      <c r="P352" s="105">
        <f>SUM(P353:P365)</f>
        <v>4437.2050000000008</v>
      </c>
      <c r="Q352" s="105">
        <f>SUM(Q353:Q365)</f>
        <v>4442.7610000000004</v>
      </c>
      <c r="R352" s="105">
        <f>SUM(R353:R365)</f>
        <v>4442.7610000000004</v>
      </c>
    </row>
    <row r="353" spans="1:18" s="217" customFormat="1" ht="108.75" customHeight="1">
      <c r="A353" s="557"/>
      <c r="B353" s="509" t="s">
        <v>715</v>
      </c>
      <c r="C353" s="452" t="s">
        <v>215</v>
      </c>
      <c r="D353" s="452" t="s">
        <v>816</v>
      </c>
      <c r="E353" s="452" t="s">
        <v>216</v>
      </c>
      <c r="F353" s="452" t="s">
        <v>217</v>
      </c>
      <c r="G353" s="452" t="s">
        <v>817</v>
      </c>
      <c r="H353" s="452" t="s">
        <v>218</v>
      </c>
      <c r="I353" s="452" t="s">
        <v>219</v>
      </c>
      <c r="J353" s="455" t="s">
        <v>220</v>
      </c>
      <c r="K353" s="455" t="s">
        <v>221</v>
      </c>
      <c r="L353" s="215" t="s">
        <v>32</v>
      </c>
      <c r="M353" s="215" t="s">
        <v>37</v>
      </c>
      <c r="N353" s="216">
        <v>3536.703</v>
      </c>
      <c r="O353" s="216">
        <v>3373.797</v>
      </c>
      <c r="P353" s="216">
        <v>3746.6480000000001</v>
      </c>
      <c r="Q353" s="216">
        <v>3746.6480000000001</v>
      </c>
      <c r="R353" s="216">
        <v>3746.6480000000001</v>
      </c>
    </row>
    <row r="354" spans="1:18" s="217" customFormat="1" ht="96.75" customHeight="1">
      <c r="A354" s="283"/>
      <c r="B354" s="518" t="s">
        <v>716</v>
      </c>
      <c r="C354" s="442" t="s">
        <v>258</v>
      </c>
      <c r="D354" s="442" t="s">
        <v>259</v>
      </c>
      <c r="E354" s="442" t="s">
        <v>260</v>
      </c>
      <c r="F354" s="442" t="s">
        <v>261</v>
      </c>
      <c r="G354" s="442" t="s">
        <v>262</v>
      </c>
      <c r="H354" s="454" t="s">
        <v>255</v>
      </c>
      <c r="I354" s="472" t="s">
        <v>263</v>
      </c>
      <c r="J354" s="472" t="s">
        <v>89</v>
      </c>
      <c r="K354" s="442" t="s">
        <v>264</v>
      </c>
      <c r="L354" s="215"/>
      <c r="M354" s="215"/>
      <c r="N354" s="216"/>
      <c r="O354" s="216"/>
      <c r="P354" s="216"/>
      <c r="Q354" s="216"/>
      <c r="R354" s="216"/>
    </row>
    <row r="355" spans="1:18" s="217" customFormat="1" ht="120">
      <c r="A355" s="283"/>
      <c r="B355" s="218"/>
      <c r="C355" s="442" t="s">
        <v>265</v>
      </c>
      <c r="D355" s="442" t="s">
        <v>266</v>
      </c>
      <c r="E355" s="442" t="s">
        <v>267</v>
      </c>
      <c r="F355" s="442" t="s">
        <v>268</v>
      </c>
      <c r="G355" s="442" t="s">
        <v>269</v>
      </c>
      <c r="H355" s="442" t="s">
        <v>270</v>
      </c>
      <c r="I355" s="472" t="s">
        <v>271</v>
      </c>
      <c r="J355" s="472" t="s">
        <v>89</v>
      </c>
      <c r="K355" s="472" t="s">
        <v>272</v>
      </c>
      <c r="L355" s="215"/>
      <c r="M355" s="215"/>
      <c r="N355" s="216"/>
      <c r="O355" s="216"/>
      <c r="P355" s="216"/>
      <c r="Q355" s="216"/>
      <c r="R355" s="216"/>
    </row>
    <row r="356" spans="1:18" s="217" customFormat="1" ht="108" customHeight="1">
      <c r="A356" s="283"/>
      <c r="B356" s="100" t="s">
        <v>717</v>
      </c>
      <c r="C356" s="442" t="s">
        <v>192</v>
      </c>
      <c r="D356" s="442" t="s">
        <v>234</v>
      </c>
      <c r="E356" s="442" t="s">
        <v>273</v>
      </c>
      <c r="F356" s="442" t="s">
        <v>274</v>
      </c>
      <c r="G356" s="442" t="s">
        <v>1323</v>
      </c>
      <c r="H356" s="442" t="s">
        <v>275</v>
      </c>
      <c r="I356" s="442" t="s">
        <v>238</v>
      </c>
      <c r="J356" s="442" t="s">
        <v>89</v>
      </c>
      <c r="K356" s="442" t="s">
        <v>276</v>
      </c>
      <c r="L356" s="215"/>
      <c r="M356" s="215"/>
      <c r="N356" s="216"/>
      <c r="O356" s="216"/>
      <c r="P356" s="216"/>
      <c r="Q356" s="216"/>
      <c r="R356" s="216"/>
    </row>
    <row r="357" spans="1:18" s="217" customFormat="1" ht="132.75" customHeight="1">
      <c r="A357" s="283"/>
      <c r="B357" s="100" t="s">
        <v>718</v>
      </c>
      <c r="C357" s="447" t="s">
        <v>434</v>
      </c>
      <c r="D357" s="52" t="s">
        <v>435</v>
      </c>
      <c r="E357" s="447" t="s">
        <v>436</v>
      </c>
      <c r="F357" s="442" t="s">
        <v>277</v>
      </c>
      <c r="G357" s="442" t="s">
        <v>278</v>
      </c>
      <c r="H357" s="454" t="s">
        <v>255</v>
      </c>
      <c r="I357" s="442" t="s">
        <v>279</v>
      </c>
      <c r="J357" s="454" t="s">
        <v>89</v>
      </c>
      <c r="K357" s="454" t="s">
        <v>280</v>
      </c>
      <c r="L357" s="215"/>
      <c r="M357" s="215"/>
      <c r="N357" s="216"/>
      <c r="O357" s="216"/>
      <c r="P357" s="216"/>
      <c r="Q357" s="216"/>
      <c r="R357" s="216"/>
    </row>
    <row r="358" spans="1:18" s="217" customFormat="1" ht="181.5" customHeight="1">
      <c r="A358" s="283"/>
      <c r="B358" s="100" t="s">
        <v>719</v>
      </c>
      <c r="C358" s="442" t="s">
        <v>291</v>
      </c>
      <c r="D358" s="442" t="s">
        <v>846</v>
      </c>
      <c r="E358" s="442" t="s">
        <v>292</v>
      </c>
      <c r="F358" s="472" t="s">
        <v>293</v>
      </c>
      <c r="G358" s="472" t="s">
        <v>294</v>
      </c>
      <c r="H358" s="184" t="s">
        <v>295</v>
      </c>
      <c r="I358" s="472" t="s">
        <v>847</v>
      </c>
      <c r="J358" s="184" t="s">
        <v>296</v>
      </c>
      <c r="K358" s="185" t="s">
        <v>297</v>
      </c>
      <c r="L358" s="215"/>
      <c r="M358" s="215"/>
      <c r="N358" s="216"/>
      <c r="O358" s="216"/>
      <c r="P358" s="216"/>
      <c r="Q358" s="216"/>
      <c r="R358" s="216"/>
    </row>
    <row r="359" spans="1:18" s="217" customFormat="1" ht="155.25" customHeight="1">
      <c r="A359" s="283"/>
      <c r="B359" s="100" t="s">
        <v>720</v>
      </c>
      <c r="C359" s="442" t="s">
        <v>302</v>
      </c>
      <c r="D359" s="442" t="s">
        <v>303</v>
      </c>
      <c r="E359" s="454" t="s">
        <v>304</v>
      </c>
      <c r="F359" s="442" t="s">
        <v>305</v>
      </c>
      <c r="G359" s="442" t="s">
        <v>248</v>
      </c>
      <c r="H359" s="442" t="s">
        <v>306</v>
      </c>
      <c r="I359" s="442" t="s">
        <v>307</v>
      </c>
      <c r="J359" s="440" t="s">
        <v>223</v>
      </c>
      <c r="K359" s="440" t="s">
        <v>308</v>
      </c>
      <c r="L359" s="215"/>
      <c r="M359" s="215"/>
      <c r="N359" s="216"/>
      <c r="O359" s="216"/>
      <c r="P359" s="216"/>
      <c r="Q359" s="216"/>
      <c r="R359" s="216"/>
    </row>
    <row r="360" spans="1:18" s="217" customFormat="1" ht="107.25" customHeight="1">
      <c r="A360" s="283"/>
      <c r="B360" s="100" t="s">
        <v>721</v>
      </c>
      <c r="C360" s="310" t="s">
        <v>1326</v>
      </c>
      <c r="D360" s="311" t="s">
        <v>1324</v>
      </c>
      <c r="E360" s="311" t="s">
        <v>1325</v>
      </c>
      <c r="F360" s="311" t="s">
        <v>281</v>
      </c>
      <c r="G360" s="311" t="s">
        <v>248</v>
      </c>
      <c r="H360" s="311" t="s">
        <v>249</v>
      </c>
      <c r="I360" s="318" t="s">
        <v>282</v>
      </c>
      <c r="J360" s="318" t="s">
        <v>68</v>
      </c>
      <c r="K360" s="319" t="s">
        <v>283</v>
      </c>
      <c r="L360" s="215" t="s">
        <v>37</v>
      </c>
      <c r="M360" s="215" t="s">
        <v>32</v>
      </c>
      <c r="N360" s="216">
        <v>49.356000000000002</v>
      </c>
      <c r="O360" s="216">
        <v>29.722999999999999</v>
      </c>
      <c r="P360" s="216">
        <v>50.863</v>
      </c>
      <c r="Q360" s="216">
        <v>50.863</v>
      </c>
      <c r="R360" s="216">
        <v>50.863</v>
      </c>
    </row>
    <row r="361" spans="1:18" s="217" customFormat="1" ht="132">
      <c r="A361" s="283"/>
      <c r="B361" s="215"/>
      <c r="C361" s="316" t="s">
        <v>429</v>
      </c>
      <c r="D361" s="316" t="s">
        <v>430</v>
      </c>
      <c r="E361" s="316" t="s">
        <v>431</v>
      </c>
      <c r="F361" s="316" t="s">
        <v>432</v>
      </c>
      <c r="G361" s="316" t="s">
        <v>433</v>
      </c>
      <c r="H361" s="316" t="s">
        <v>60</v>
      </c>
      <c r="I361" s="316" t="s">
        <v>413</v>
      </c>
      <c r="J361" s="317" t="s">
        <v>70</v>
      </c>
      <c r="K361" s="317" t="s">
        <v>414</v>
      </c>
      <c r="L361" s="215" t="s">
        <v>37</v>
      </c>
      <c r="M361" s="215" t="s">
        <v>35</v>
      </c>
      <c r="N361" s="216">
        <f>559.832+12.896</f>
        <v>572.72799999999995</v>
      </c>
      <c r="O361" s="216">
        <f>545.449+12.896</f>
        <v>558.34499999999991</v>
      </c>
      <c r="P361" s="216">
        <f>579.104+12.94</f>
        <v>592.0440000000001</v>
      </c>
      <c r="Q361" s="216">
        <v>597.6</v>
      </c>
      <c r="R361" s="216">
        <v>597.6</v>
      </c>
    </row>
    <row r="362" spans="1:18" s="217" customFormat="1" ht="97.5" customHeight="1">
      <c r="A362" s="283"/>
      <c r="B362" s="215"/>
      <c r="C362" s="477" t="s">
        <v>284</v>
      </c>
      <c r="D362" s="477" t="s">
        <v>285</v>
      </c>
      <c r="E362" s="516" t="s">
        <v>286</v>
      </c>
      <c r="F362" s="477" t="s">
        <v>287</v>
      </c>
      <c r="G362" s="477" t="s">
        <v>262</v>
      </c>
      <c r="H362" s="477" t="s">
        <v>799</v>
      </c>
      <c r="I362" s="477" t="s">
        <v>800</v>
      </c>
      <c r="J362" s="516" t="s">
        <v>89</v>
      </c>
      <c r="K362" s="516" t="s">
        <v>290</v>
      </c>
      <c r="L362" s="215"/>
      <c r="M362" s="215"/>
      <c r="N362" s="216"/>
      <c r="O362" s="216"/>
      <c r="P362" s="216"/>
      <c r="Q362" s="216"/>
      <c r="R362" s="216"/>
    </row>
    <row r="363" spans="1:18" s="114" customFormat="1" ht="120" customHeight="1">
      <c r="A363" s="54"/>
      <c r="B363" s="518" t="s">
        <v>1129</v>
      </c>
      <c r="C363" s="442" t="s">
        <v>192</v>
      </c>
      <c r="D363" s="442" t="s">
        <v>234</v>
      </c>
      <c r="E363" s="442" t="s">
        <v>273</v>
      </c>
      <c r="F363" s="442" t="s">
        <v>274</v>
      </c>
      <c r="G363" s="442" t="s">
        <v>124</v>
      </c>
      <c r="H363" s="442" t="s">
        <v>275</v>
      </c>
      <c r="I363" s="442" t="s">
        <v>238</v>
      </c>
      <c r="J363" s="442" t="s">
        <v>89</v>
      </c>
      <c r="K363" s="442" t="s">
        <v>276</v>
      </c>
      <c r="L363" s="389" t="s">
        <v>43</v>
      </c>
      <c r="M363" s="215" t="s">
        <v>35</v>
      </c>
      <c r="N363" s="216"/>
      <c r="O363" s="216"/>
      <c r="P363" s="216">
        <v>40</v>
      </c>
      <c r="Q363" s="216">
        <v>40</v>
      </c>
      <c r="R363" s="216">
        <v>40</v>
      </c>
    </row>
    <row r="364" spans="1:18" s="114" customFormat="1" ht="77.25" customHeight="1">
      <c r="A364" s="54"/>
      <c r="B364" s="581" t="s">
        <v>1130</v>
      </c>
      <c r="C364" s="543" t="s">
        <v>192</v>
      </c>
      <c r="D364" s="543" t="s">
        <v>234</v>
      </c>
      <c r="E364" s="543" t="s">
        <v>194</v>
      </c>
      <c r="F364" s="543" t="s">
        <v>235</v>
      </c>
      <c r="G364" s="543" t="s">
        <v>236</v>
      </c>
      <c r="H364" s="543" t="s">
        <v>237</v>
      </c>
      <c r="I364" s="543" t="s">
        <v>238</v>
      </c>
      <c r="J364" s="543" t="s">
        <v>89</v>
      </c>
      <c r="K364" s="543" t="s">
        <v>239</v>
      </c>
      <c r="L364" s="389" t="s">
        <v>23</v>
      </c>
      <c r="M364" s="215" t="s">
        <v>37</v>
      </c>
      <c r="N364" s="216">
        <v>1.8</v>
      </c>
      <c r="O364" s="216">
        <v>1.8</v>
      </c>
      <c r="P364" s="216">
        <v>1.8</v>
      </c>
      <c r="Q364" s="216">
        <v>1.8</v>
      </c>
      <c r="R364" s="216">
        <v>1.8</v>
      </c>
    </row>
    <row r="365" spans="1:18" s="217" customFormat="1" ht="77.25" customHeight="1">
      <c r="A365" s="284"/>
      <c r="B365" s="582"/>
      <c r="C365" s="544"/>
      <c r="D365" s="544"/>
      <c r="E365" s="544"/>
      <c r="F365" s="544"/>
      <c r="G365" s="544"/>
      <c r="H365" s="544"/>
      <c r="I365" s="544"/>
      <c r="J365" s="544"/>
      <c r="K365" s="544"/>
      <c r="L365" s="389" t="s">
        <v>23</v>
      </c>
      <c r="M365" s="215" t="s">
        <v>33</v>
      </c>
      <c r="N365" s="216">
        <v>5.6289999999999996</v>
      </c>
      <c r="O365" s="216">
        <v>5.6289999999999996</v>
      </c>
      <c r="P365" s="216">
        <v>5.85</v>
      </c>
      <c r="Q365" s="216">
        <v>5.85</v>
      </c>
      <c r="R365" s="216">
        <v>5.85</v>
      </c>
    </row>
    <row r="366" spans="1:18" s="114" customFormat="1" ht="14.25" customHeight="1">
      <c r="A366" s="583" t="s">
        <v>713</v>
      </c>
      <c r="B366" s="491">
        <v>1802</v>
      </c>
      <c r="C366" s="472"/>
      <c r="D366" s="472"/>
      <c r="E366" s="184"/>
      <c r="F366" s="472"/>
      <c r="G366" s="472"/>
      <c r="H366" s="472"/>
      <c r="I366" s="472"/>
      <c r="J366" s="472"/>
      <c r="K366" s="472"/>
      <c r="L366" s="491"/>
      <c r="M366" s="491"/>
      <c r="N366" s="105">
        <f>SUM(N367:N377)</f>
        <v>9662.2839999999997</v>
      </c>
      <c r="O366" s="105">
        <f>SUM(O367:O377)</f>
        <v>9453.0879999999997</v>
      </c>
      <c r="P366" s="105">
        <f>SUM(P367:P377)</f>
        <v>10251.89</v>
      </c>
      <c r="Q366" s="105">
        <f>SUM(Q367:Q377)</f>
        <v>10251.89</v>
      </c>
      <c r="R366" s="105">
        <f>SUM(R367:R377)</f>
        <v>10251.89</v>
      </c>
    </row>
    <row r="367" spans="1:18" s="217" customFormat="1" ht="118.5" customHeight="1">
      <c r="A367" s="557"/>
      <c r="B367" s="509" t="s">
        <v>715</v>
      </c>
      <c r="C367" s="452" t="s">
        <v>215</v>
      </c>
      <c r="D367" s="452" t="s">
        <v>816</v>
      </c>
      <c r="E367" s="452" t="s">
        <v>216</v>
      </c>
      <c r="F367" s="452" t="s">
        <v>217</v>
      </c>
      <c r="G367" s="452" t="s">
        <v>817</v>
      </c>
      <c r="H367" s="452" t="s">
        <v>218</v>
      </c>
      <c r="I367" s="452" t="s">
        <v>219</v>
      </c>
      <c r="J367" s="455" t="s">
        <v>220</v>
      </c>
      <c r="K367" s="455" t="s">
        <v>221</v>
      </c>
      <c r="L367" s="215" t="s">
        <v>32</v>
      </c>
      <c r="M367" s="215" t="s">
        <v>37</v>
      </c>
      <c r="N367" s="216">
        <v>8150.4970000000003</v>
      </c>
      <c r="O367" s="216">
        <v>8033.6360000000004</v>
      </c>
      <c r="P367" s="216">
        <v>8694.4519999999993</v>
      </c>
      <c r="Q367" s="216">
        <v>8694.4519999999993</v>
      </c>
      <c r="R367" s="216">
        <v>8694.4519999999993</v>
      </c>
    </row>
    <row r="368" spans="1:18" s="217" customFormat="1" ht="96" customHeight="1">
      <c r="A368" s="283"/>
      <c r="B368" s="518" t="s">
        <v>716</v>
      </c>
      <c r="C368" s="442" t="s">
        <v>258</v>
      </c>
      <c r="D368" s="442" t="s">
        <v>259</v>
      </c>
      <c r="E368" s="442" t="s">
        <v>260</v>
      </c>
      <c r="F368" s="442" t="s">
        <v>261</v>
      </c>
      <c r="G368" s="442" t="s">
        <v>262</v>
      </c>
      <c r="H368" s="454" t="s">
        <v>255</v>
      </c>
      <c r="I368" s="472" t="s">
        <v>263</v>
      </c>
      <c r="J368" s="472" t="s">
        <v>89</v>
      </c>
      <c r="K368" s="442" t="s">
        <v>264</v>
      </c>
      <c r="L368" s="46"/>
      <c r="M368" s="46"/>
      <c r="N368" s="216"/>
      <c r="O368" s="216"/>
      <c r="P368" s="216"/>
      <c r="Q368" s="216"/>
      <c r="R368" s="216"/>
    </row>
    <row r="369" spans="1:18" s="217" customFormat="1" ht="110.25" customHeight="1">
      <c r="A369" s="283"/>
      <c r="B369" s="218"/>
      <c r="C369" s="442" t="s">
        <v>265</v>
      </c>
      <c r="D369" s="442" t="s">
        <v>266</v>
      </c>
      <c r="E369" s="442" t="s">
        <v>267</v>
      </c>
      <c r="F369" s="442" t="s">
        <v>268</v>
      </c>
      <c r="G369" s="442" t="s">
        <v>269</v>
      </c>
      <c r="H369" s="442" t="s">
        <v>270</v>
      </c>
      <c r="I369" s="472" t="s">
        <v>271</v>
      </c>
      <c r="J369" s="472" t="s">
        <v>89</v>
      </c>
      <c r="K369" s="472" t="s">
        <v>272</v>
      </c>
      <c r="L369" s="215"/>
      <c r="M369" s="215"/>
      <c r="N369" s="216"/>
      <c r="O369" s="216"/>
      <c r="P369" s="216"/>
      <c r="Q369" s="216"/>
      <c r="R369" s="216"/>
    </row>
    <row r="370" spans="1:18" s="217" customFormat="1" ht="108.75" customHeight="1">
      <c r="A370" s="283"/>
      <c r="B370" s="100" t="s">
        <v>717</v>
      </c>
      <c r="C370" s="442" t="s">
        <v>192</v>
      </c>
      <c r="D370" s="442" t="s">
        <v>234</v>
      </c>
      <c r="E370" s="442" t="s">
        <v>273</v>
      </c>
      <c r="F370" s="442" t="s">
        <v>274</v>
      </c>
      <c r="G370" s="442" t="s">
        <v>124</v>
      </c>
      <c r="H370" s="442" t="s">
        <v>275</v>
      </c>
      <c r="I370" s="442" t="s">
        <v>238</v>
      </c>
      <c r="J370" s="442" t="s">
        <v>89</v>
      </c>
      <c r="K370" s="442" t="s">
        <v>276</v>
      </c>
      <c r="L370" s="215"/>
      <c r="M370" s="215"/>
      <c r="N370" s="216"/>
      <c r="O370" s="216"/>
      <c r="P370" s="216"/>
      <c r="Q370" s="216"/>
      <c r="R370" s="216"/>
    </row>
    <row r="371" spans="1:18" s="217" customFormat="1" ht="144.75" customHeight="1">
      <c r="A371" s="283"/>
      <c r="B371" s="100" t="s">
        <v>718</v>
      </c>
      <c r="C371" s="447" t="s">
        <v>434</v>
      </c>
      <c r="D371" s="52" t="s">
        <v>435</v>
      </c>
      <c r="E371" s="447" t="s">
        <v>436</v>
      </c>
      <c r="F371" s="442" t="s">
        <v>277</v>
      </c>
      <c r="G371" s="442" t="s">
        <v>278</v>
      </c>
      <c r="H371" s="454" t="s">
        <v>255</v>
      </c>
      <c r="I371" s="442" t="s">
        <v>279</v>
      </c>
      <c r="J371" s="454" t="s">
        <v>89</v>
      </c>
      <c r="K371" s="454" t="s">
        <v>280</v>
      </c>
      <c r="L371" s="215"/>
      <c r="M371" s="215"/>
      <c r="N371" s="216"/>
      <c r="O371" s="216"/>
      <c r="P371" s="216"/>
      <c r="Q371" s="216"/>
      <c r="R371" s="216"/>
    </row>
    <row r="372" spans="1:18" s="217" customFormat="1" ht="180" customHeight="1">
      <c r="A372" s="283"/>
      <c r="B372" s="100" t="s">
        <v>719</v>
      </c>
      <c r="C372" s="442" t="s">
        <v>291</v>
      </c>
      <c r="D372" s="442" t="s">
        <v>846</v>
      </c>
      <c r="E372" s="442" t="s">
        <v>292</v>
      </c>
      <c r="F372" s="472" t="s">
        <v>293</v>
      </c>
      <c r="G372" s="472" t="s">
        <v>294</v>
      </c>
      <c r="H372" s="184" t="s">
        <v>295</v>
      </c>
      <c r="I372" s="472" t="s">
        <v>847</v>
      </c>
      <c r="J372" s="184" t="s">
        <v>296</v>
      </c>
      <c r="K372" s="185" t="s">
        <v>297</v>
      </c>
      <c r="L372" s="215"/>
      <c r="M372" s="215"/>
      <c r="N372" s="216"/>
      <c r="O372" s="216"/>
      <c r="P372" s="216"/>
      <c r="Q372" s="216"/>
      <c r="R372" s="216"/>
    </row>
    <row r="373" spans="1:18" s="217" customFormat="1" ht="156.75" customHeight="1">
      <c r="A373" s="283"/>
      <c r="B373" s="100" t="s">
        <v>720</v>
      </c>
      <c r="C373" s="442" t="s">
        <v>302</v>
      </c>
      <c r="D373" s="442" t="s">
        <v>303</v>
      </c>
      <c r="E373" s="454" t="s">
        <v>304</v>
      </c>
      <c r="F373" s="442" t="s">
        <v>305</v>
      </c>
      <c r="G373" s="442" t="s">
        <v>845</v>
      </c>
      <c r="H373" s="442" t="s">
        <v>306</v>
      </c>
      <c r="I373" s="442" t="s">
        <v>1327</v>
      </c>
      <c r="J373" s="440" t="s">
        <v>223</v>
      </c>
      <c r="K373" s="440" t="s">
        <v>308</v>
      </c>
      <c r="L373" s="215"/>
      <c r="M373" s="215"/>
      <c r="N373" s="216"/>
      <c r="O373" s="216"/>
      <c r="P373" s="216"/>
      <c r="Q373" s="216"/>
      <c r="R373" s="216"/>
    </row>
    <row r="374" spans="1:18" s="217" customFormat="1" ht="96.75" customHeight="1">
      <c r="A374" s="283"/>
      <c r="B374" s="100" t="s">
        <v>721</v>
      </c>
      <c r="C374" s="310" t="s">
        <v>1326</v>
      </c>
      <c r="D374" s="311" t="s">
        <v>1324</v>
      </c>
      <c r="E374" s="311" t="s">
        <v>1325</v>
      </c>
      <c r="F374" s="311" t="s">
        <v>281</v>
      </c>
      <c r="G374" s="311" t="s">
        <v>248</v>
      </c>
      <c r="H374" s="311" t="s">
        <v>249</v>
      </c>
      <c r="I374" s="318" t="s">
        <v>282</v>
      </c>
      <c r="J374" s="318" t="s">
        <v>68</v>
      </c>
      <c r="K374" s="319" t="s">
        <v>283</v>
      </c>
      <c r="L374" s="215" t="s">
        <v>37</v>
      </c>
      <c r="M374" s="215" t="s">
        <v>32</v>
      </c>
      <c r="N374" s="216">
        <v>156.14400000000001</v>
      </c>
      <c r="O374" s="216">
        <v>91.138999999999996</v>
      </c>
      <c r="P374" s="216">
        <v>161.137</v>
      </c>
      <c r="Q374" s="216">
        <v>161.137</v>
      </c>
      <c r="R374" s="216">
        <v>161.137</v>
      </c>
    </row>
    <row r="375" spans="1:18" s="217" customFormat="1" ht="84" customHeight="1">
      <c r="A375" s="283"/>
      <c r="B375" s="100" t="s">
        <v>801</v>
      </c>
      <c r="C375" s="316" t="s">
        <v>429</v>
      </c>
      <c r="D375" s="316" t="s">
        <v>430</v>
      </c>
      <c r="E375" s="316" t="s">
        <v>431</v>
      </c>
      <c r="F375" s="316" t="s">
        <v>432</v>
      </c>
      <c r="G375" s="316" t="s">
        <v>433</v>
      </c>
      <c r="H375" s="316" t="s">
        <v>60</v>
      </c>
      <c r="I375" s="316" t="s">
        <v>413</v>
      </c>
      <c r="J375" s="317" t="s">
        <v>70</v>
      </c>
      <c r="K375" s="317" t="s">
        <v>414</v>
      </c>
      <c r="L375" s="215" t="s">
        <v>37</v>
      </c>
      <c r="M375" s="215" t="s">
        <v>35</v>
      </c>
      <c r="N375" s="216">
        <f>1299.868+42.704</f>
        <v>1342.5719999999999</v>
      </c>
      <c r="O375" s="216">
        <f>1272.538+42.704</f>
        <v>1315.242</v>
      </c>
      <c r="P375" s="216">
        <f>1339.896+42.86</f>
        <v>1382.7559999999999</v>
      </c>
      <c r="Q375" s="216">
        <f t="shared" ref="Q375:R375" si="69">1339.896+42.86</f>
        <v>1382.7559999999999</v>
      </c>
      <c r="R375" s="216">
        <f t="shared" si="69"/>
        <v>1382.7559999999999</v>
      </c>
    </row>
    <row r="376" spans="1:18" s="217" customFormat="1" ht="97.5" customHeight="1">
      <c r="A376" s="283"/>
      <c r="B376" s="100" t="s">
        <v>802</v>
      </c>
      <c r="C376" s="477" t="s">
        <v>284</v>
      </c>
      <c r="D376" s="477" t="s">
        <v>285</v>
      </c>
      <c r="E376" s="477" t="s">
        <v>286</v>
      </c>
      <c r="F376" s="477" t="s">
        <v>287</v>
      </c>
      <c r="G376" s="477" t="s">
        <v>803</v>
      </c>
      <c r="H376" s="477" t="s">
        <v>799</v>
      </c>
      <c r="I376" s="477" t="s">
        <v>800</v>
      </c>
      <c r="J376" s="516" t="s">
        <v>89</v>
      </c>
      <c r="K376" s="516" t="s">
        <v>290</v>
      </c>
      <c r="L376" s="215"/>
      <c r="M376" s="215"/>
      <c r="N376" s="216"/>
      <c r="O376" s="216"/>
      <c r="P376" s="216"/>
      <c r="Q376" s="216"/>
      <c r="R376" s="216"/>
    </row>
    <row r="377" spans="1:18" s="217" customFormat="1" ht="144.75" customHeight="1">
      <c r="A377" s="289"/>
      <c r="B377" s="100" t="s">
        <v>722</v>
      </c>
      <c r="C377" s="477" t="s">
        <v>192</v>
      </c>
      <c r="D377" s="477" t="s">
        <v>234</v>
      </c>
      <c r="E377" s="477" t="s">
        <v>194</v>
      </c>
      <c r="F377" s="477" t="s">
        <v>235</v>
      </c>
      <c r="G377" s="477" t="s">
        <v>236</v>
      </c>
      <c r="H377" s="477" t="s">
        <v>237</v>
      </c>
      <c r="I377" s="477" t="s">
        <v>238</v>
      </c>
      <c r="J377" s="477" t="s">
        <v>89</v>
      </c>
      <c r="K377" s="477" t="s">
        <v>239</v>
      </c>
      <c r="L377" s="215" t="s">
        <v>23</v>
      </c>
      <c r="M377" s="215" t="s">
        <v>33</v>
      </c>
      <c r="N377" s="216">
        <v>13.071</v>
      </c>
      <c r="O377" s="216">
        <v>13.071</v>
      </c>
      <c r="P377" s="216">
        <v>13.545</v>
      </c>
      <c r="Q377" s="216">
        <v>13.545</v>
      </c>
      <c r="R377" s="216">
        <v>13.545</v>
      </c>
    </row>
    <row r="378" spans="1:18" s="114" customFormat="1" ht="132" customHeight="1">
      <c r="A378" s="52" t="s">
        <v>652</v>
      </c>
      <c r="B378" s="488">
        <v>1805</v>
      </c>
      <c r="C378" s="316" t="s">
        <v>429</v>
      </c>
      <c r="D378" s="316" t="s">
        <v>430</v>
      </c>
      <c r="E378" s="316" t="s">
        <v>431</v>
      </c>
      <c r="F378" s="316" t="s">
        <v>432</v>
      </c>
      <c r="G378" s="316" t="s">
        <v>433</v>
      </c>
      <c r="H378" s="316" t="s">
        <v>60</v>
      </c>
      <c r="I378" s="559" t="s">
        <v>413</v>
      </c>
      <c r="J378" s="657" t="s">
        <v>70</v>
      </c>
      <c r="K378" s="657" t="s">
        <v>414</v>
      </c>
      <c r="L378" s="488" t="s">
        <v>37</v>
      </c>
      <c r="M378" s="488" t="s">
        <v>35</v>
      </c>
      <c r="N378" s="243">
        <f>33.046+161.343+2749.305+1380.781+1065.923+165</f>
        <v>5555.3980000000001</v>
      </c>
      <c r="O378" s="243">
        <f>33.046+161.343+2749.305+1380.781+1065.923+165</f>
        <v>5555.3980000000001</v>
      </c>
      <c r="P378" s="243">
        <f>74.9+365.7+7609.5+900+500+310.7</f>
        <v>9760.8000000000011</v>
      </c>
      <c r="Q378" s="243">
        <f>74.9+365.7+7609.5+400+1000+310.7</f>
        <v>9760.8000000000011</v>
      </c>
      <c r="R378" s="243">
        <f>74.9+365.7+7609.5+400+1000+310.7-20.2</f>
        <v>9740.6</v>
      </c>
    </row>
    <row r="379" spans="1:18" s="114" customFormat="1" ht="108.75" hidden="1" customHeight="1">
      <c r="A379" s="48"/>
      <c r="B379" s="448"/>
      <c r="C379" s="478" t="s">
        <v>376</v>
      </c>
      <c r="D379" s="478" t="s">
        <v>68</v>
      </c>
      <c r="E379" s="478" t="s">
        <v>377</v>
      </c>
      <c r="F379" s="478" t="s">
        <v>375</v>
      </c>
      <c r="G379" s="478" t="s">
        <v>68</v>
      </c>
      <c r="H379" s="478" t="s">
        <v>79</v>
      </c>
      <c r="I379" s="552"/>
      <c r="J379" s="632"/>
      <c r="K379" s="632"/>
      <c r="L379" s="448"/>
      <c r="M379" s="448"/>
      <c r="N379" s="58">
        <v>0</v>
      </c>
      <c r="O379" s="58"/>
      <c r="P379" s="58"/>
      <c r="Q379" s="58"/>
      <c r="R379" s="173"/>
    </row>
    <row r="380" spans="1:18" s="114" customFormat="1" ht="108.75" customHeight="1">
      <c r="A380" s="108" t="s">
        <v>1419</v>
      </c>
      <c r="B380" s="488">
        <v>1807</v>
      </c>
      <c r="C380" s="316"/>
      <c r="D380" s="316"/>
      <c r="E380" s="316"/>
      <c r="F380" s="316"/>
      <c r="G380" s="316"/>
      <c r="H380" s="316"/>
      <c r="I380" s="560"/>
      <c r="J380" s="658"/>
      <c r="K380" s="658"/>
      <c r="L380" s="488" t="s">
        <v>37</v>
      </c>
      <c r="M380" s="488" t="s">
        <v>35</v>
      </c>
      <c r="N380" s="243">
        <f>14.734+10.219+49.89</f>
        <v>74.843000000000004</v>
      </c>
      <c r="O380" s="243">
        <f>14.727+10.219+49.89</f>
        <v>74.835999999999999</v>
      </c>
      <c r="P380" s="243">
        <v>10.6</v>
      </c>
      <c r="Q380" s="243">
        <v>0</v>
      </c>
      <c r="R380" s="243">
        <v>0</v>
      </c>
    </row>
    <row r="381" spans="1:18" s="114" customFormat="1" ht="51.75" customHeight="1">
      <c r="A381" s="545" t="s">
        <v>653</v>
      </c>
      <c r="B381" s="459" t="s">
        <v>654</v>
      </c>
      <c r="C381" s="551" t="s">
        <v>226</v>
      </c>
      <c r="D381" s="551" t="s">
        <v>228</v>
      </c>
      <c r="E381" s="551" t="s">
        <v>227</v>
      </c>
      <c r="F381" s="653" t="s">
        <v>229</v>
      </c>
      <c r="G381" s="551" t="s">
        <v>230</v>
      </c>
      <c r="H381" s="652" t="s">
        <v>231</v>
      </c>
      <c r="I381" s="552" t="s">
        <v>232</v>
      </c>
      <c r="J381" s="552" t="s">
        <v>72</v>
      </c>
      <c r="K381" s="632" t="s">
        <v>233</v>
      </c>
      <c r="L381" s="459" t="s">
        <v>43</v>
      </c>
      <c r="M381" s="459" t="s">
        <v>32</v>
      </c>
      <c r="N381" s="53">
        <v>129.363</v>
      </c>
      <c r="O381" s="53">
        <v>129.363</v>
      </c>
      <c r="P381" s="53">
        <v>93.744</v>
      </c>
      <c r="Q381" s="53">
        <v>93.744</v>
      </c>
      <c r="R381" s="53">
        <v>93.744</v>
      </c>
    </row>
    <row r="382" spans="1:18" s="114" customFormat="1" ht="51.75" customHeight="1">
      <c r="A382" s="545"/>
      <c r="B382" s="459"/>
      <c r="C382" s="551"/>
      <c r="D382" s="551"/>
      <c r="E382" s="551"/>
      <c r="F382" s="653"/>
      <c r="G382" s="551"/>
      <c r="H382" s="652"/>
      <c r="I382" s="552"/>
      <c r="J382" s="552"/>
      <c r="K382" s="632"/>
      <c r="L382" s="447" t="s">
        <v>43</v>
      </c>
      <c r="M382" s="447" t="s">
        <v>36</v>
      </c>
      <c r="N382" s="20">
        <v>818.55700000000002</v>
      </c>
      <c r="O382" s="20">
        <v>816.577</v>
      </c>
      <c r="P382" s="20">
        <v>969.00800000000004</v>
      </c>
      <c r="Q382" s="20">
        <v>969.00800000000004</v>
      </c>
      <c r="R382" s="20">
        <v>969.00800000000004</v>
      </c>
    </row>
    <row r="383" spans="1:18" s="114" customFormat="1" ht="51.75" customHeight="1">
      <c r="A383" s="575"/>
      <c r="B383" s="459"/>
      <c r="C383" s="112"/>
      <c r="D383" s="112"/>
      <c r="E383" s="112"/>
      <c r="F383" s="654"/>
      <c r="G383" s="112"/>
      <c r="H383" s="112"/>
      <c r="I383" s="112"/>
      <c r="J383" s="112"/>
      <c r="K383" s="135"/>
      <c r="L383" s="508" t="s">
        <v>43</v>
      </c>
      <c r="M383" s="508" t="s">
        <v>41</v>
      </c>
      <c r="N383" s="20">
        <v>52.08</v>
      </c>
      <c r="O383" s="20">
        <v>52.08</v>
      </c>
      <c r="P383" s="20">
        <v>31.248000000000001</v>
      </c>
      <c r="Q383" s="20">
        <v>31.248000000000001</v>
      </c>
      <c r="R383" s="20">
        <v>31.248000000000001</v>
      </c>
    </row>
    <row r="384" spans="1:18" s="114" customFormat="1" ht="155.25" hidden="1" customHeight="1">
      <c r="A384" s="52" t="s">
        <v>655</v>
      </c>
      <c r="B384" s="447" t="s">
        <v>656</v>
      </c>
      <c r="C384" s="477" t="s">
        <v>192</v>
      </c>
      <c r="D384" s="477" t="s">
        <v>234</v>
      </c>
      <c r="E384" s="477" t="s">
        <v>194</v>
      </c>
      <c r="F384" s="477" t="s">
        <v>235</v>
      </c>
      <c r="G384" s="477" t="s">
        <v>236</v>
      </c>
      <c r="H384" s="477" t="s">
        <v>237</v>
      </c>
      <c r="I384" s="477" t="s">
        <v>238</v>
      </c>
      <c r="J384" s="477" t="s">
        <v>89</v>
      </c>
      <c r="K384" s="477" t="s">
        <v>239</v>
      </c>
      <c r="L384" s="488" t="s">
        <v>23</v>
      </c>
      <c r="M384" s="488" t="s">
        <v>33</v>
      </c>
      <c r="N384" s="243">
        <v>0</v>
      </c>
      <c r="O384" s="243">
        <v>0</v>
      </c>
      <c r="P384" s="243">
        <v>0</v>
      </c>
      <c r="Q384" s="243">
        <v>0</v>
      </c>
      <c r="R384" s="170">
        <v>0</v>
      </c>
    </row>
    <row r="385" spans="1:18" s="114" customFormat="1" ht="60">
      <c r="A385" s="108" t="s">
        <v>655</v>
      </c>
      <c r="B385" s="488" t="s">
        <v>905</v>
      </c>
      <c r="C385" s="316"/>
      <c r="D385" s="316"/>
      <c r="E385" s="316"/>
      <c r="F385" s="316"/>
      <c r="G385" s="316"/>
      <c r="H385" s="316"/>
      <c r="I385" s="316" t="s">
        <v>544</v>
      </c>
      <c r="J385" s="316" t="s">
        <v>68</v>
      </c>
      <c r="K385" s="316" t="s">
        <v>533</v>
      </c>
      <c r="L385" s="508" t="s">
        <v>23</v>
      </c>
      <c r="M385" s="508" t="s">
        <v>37</v>
      </c>
      <c r="N385" s="20">
        <v>0</v>
      </c>
      <c r="O385" s="20">
        <v>0</v>
      </c>
      <c r="P385" s="20">
        <v>252.24100000000001</v>
      </c>
      <c r="Q385" s="20">
        <v>252.24100000000001</v>
      </c>
      <c r="R385" s="243">
        <v>252.24100000000001</v>
      </c>
    </row>
    <row r="386" spans="1:18" s="114" customFormat="1" ht="276.75" customHeight="1">
      <c r="A386" s="576" t="s">
        <v>657</v>
      </c>
      <c r="B386" s="447" t="s">
        <v>658</v>
      </c>
      <c r="C386" s="514" t="s">
        <v>226</v>
      </c>
      <c r="D386" s="492" t="s">
        <v>246</v>
      </c>
      <c r="E386" s="492" t="s">
        <v>227</v>
      </c>
      <c r="F386" s="492" t="s">
        <v>247</v>
      </c>
      <c r="G386" s="492" t="s">
        <v>248</v>
      </c>
      <c r="H386" s="492" t="s">
        <v>80</v>
      </c>
      <c r="I386" s="182" t="s">
        <v>250</v>
      </c>
      <c r="J386" s="182" t="s">
        <v>68</v>
      </c>
      <c r="K386" s="183" t="s">
        <v>251</v>
      </c>
      <c r="L386" s="447" t="s">
        <v>43</v>
      </c>
      <c r="M386" s="447" t="s">
        <v>32</v>
      </c>
      <c r="N386" s="20">
        <v>0</v>
      </c>
      <c r="O386" s="20">
        <v>0</v>
      </c>
      <c r="P386" s="20">
        <v>0</v>
      </c>
      <c r="Q386" s="20">
        <v>0</v>
      </c>
      <c r="R386" s="53">
        <v>0</v>
      </c>
    </row>
    <row r="387" spans="1:18" s="114" customFormat="1" ht="156" customHeight="1">
      <c r="A387" s="545"/>
      <c r="B387" s="509" t="s">
        <v>450</v>
      </c>
      <c r="C387" s="466" t="s">
        <v>252</v>
      </c>
      <c r="D387" s="452" t="s">
        <v>248</v>
      </c>
      <c r="E387" s="452" t="s">
        <v>253</v>
      </c>
      <c r="F387" s="452" t="s">
        <v>242</v>
      </c>
      <c r="G387" s="452" t="s">
        <v>254</v>
      </c>
      <c r="H387" s="455" t="s">
        <v>255</v>
      </c>
      <c r="I387" s="452" t="s">
        <v>1023</v>
      </c>
      <c r="J387" s="452" t="s">
        <v>256</v>
      </c>
      <c r="K387" s="320" t="s">
        <v>257</v>
      </c>
      <c r="L387" s="447" t="s">
        <v>43</v>
      </c>
      <c r="M387" s="447" t="s">
        <v>36</v>
      </c>
      <c r="N387" s="20">
        <v>1789.5360000000001</v>
      </c>
      <c r="O387" s="20">
        <v>1375.7660000000001</v>
      </c>
      <c r="P387" s="20">
        <v>1603</v>
      </c>
      <c r="Q387" s="20">
        <v>1603</v>
      </c>
      <c r="R387" s="20">
        <v>1603</v>
      </c>
    </row>
    <row r="388" spans="1:18" s="114" customFormat="1" ht="157.5" customHeight="1">
      <c r="A388" s="575"/>
      <c r="B388" s="509" t="s">
        <v>451</v>
      </c>
      <c r="C388" s="515" t="s">
        <v>240</v>
      </c>
      <c r="D388" s="502" t="s">
        <v>188</v>
      </c>
      <c r="E388" s="502" t="s">
        <v>241</v>
      </c>
      <c r="F388" s="502" t="s">
        <v>242</v>
      </c>
      <c r="G388" s="502" t="s">
        <v>243</v>
      </c>
      <c r="H388" s="502" t="s">
        <v>218</v>
      </c>
      <c r="I388" s="502" t="s">
        <v>415</v>
      </c>
      <c r="J388" s="314" t="s">
        <v>244</v>
      </c>
      <c r="K388" s="315" t="s">
        <v>245</v>
      </c>
      <c r="L388" s="447" t="s">
        <v>23</v>
      </c>
      <c r="M388" s="447" t="s">
        <v>37</v>
      </c>
      <c r="N388" s="20">
        <f>70+33443.5+14196+14.818</f>
        <v>47724.317999999999</v>
      </c>
      <c r="O388" s="20">
        <f>57.931+27708.639+13641.243+0</f>
        <v>41407.813000000002</v>
      </c>
      <c r="P388" s="20">
        <f>25628.4+11638+84+115</f>
        <v>37465.4</v>
      </c>
      <c r="Q388" s="20">
        <f>25822+15288+84</f>
        <v>41194</v>
      </c>
      <c r="R388" s="20">
        <f>25747.2+15288+84</f>
        <v>41119.199999999997</v>
      </c>
    </row>
    <row r="389" spans="1:18" s="114" customFormat="1" ht="192.75" customHeight="1">
      <c r="A389" s="52" t="s">
        <v>659</v>
      </c>
      <c r="B389" s="447" t="s">
        <v>1057</v>
      </c>
      <c r="C389" s="472" t="s">
        <v>284</v>
      </c>
      <c r="D389" s="472" t="s">
        <v>285</v>
      </c>
      <c r="E389" s="472" t="s">
        <v>286</v>
      </c>
      <c r="F389" s="472" t="s">
        <v>287</v>
      </c>
      <c r="G389" s="472" t="s">
        <v>262</v>
      </c>
      <c r="H389" s="472" t="s">
        <v>288</v>
      </c>
      <c r="I389" s="463" t="s">
        <v>289</v>
      </c>
      <c r="J389" s="463" t="s">
        <v>68</v>
      </c>
      <c r="K389" s="496" t="s">
        <v>290</v>
      </c>
      <c r="L389" s="447" t="s">
        <v>37</v>
      </c>
      <c r="M389" s="447" t="s">
        <v>35</v>
      </c>
      <c r="N389" s="20">
        <v>636.20000000000005</v>
      </c>
      <c r="O389" s="20">
        <v>636.19000000000005</v>
      </c>
      <c r="P389" s="20">
        <v>1132.3</v>
      </c>
      <c r="Q389" s="20">
        <v>636.20000000000005</v>
      </c>
      <c r="R389" s="20">
        <v>636.20000000000005</v>
      </c>
    </row>
    <row r="390" spans="1:18" s="114" customFormat="1" ht="36.75" customHeight="1">
      <c r="A390" s="576" t="s">
        <v>902</v>
      </c>
      <c r="B390" s="267" t="s">
        <v>904</v>
      </c>
      <c r="C390" s="558" t="s">
        <v>226</v>
      </c>
      <c r="D390" s="558" t="s">
        <v>246</v>
      </c>
      <c r="E390" s="558" t="s">
        <v>227</v>
      </c>
      <c r="F390" s="558" t="s">
        <v>247</v>
      </c>
      <c r="G390" s="558" t="s">
        <v>248</v>
      </c>
      <c r="H390" s="558" t="s">
        <v>249</v>
      </c>
      <c r="I390" s="555" t="s">
        <v>250</v>
      </c>
      <c r="J390" s="555" t="s">
        <v>68</v>
      </c>
      <c r="K390" s="617" t="s">
        <v>251</v>
      </c>
      <c r="L390" s="263" t="s">
        <v>43</v>
      </c>
      <c r="M390" s="234" t="s">
        <v>32</v>
      </c>
      <c r="N390" s="243">
        <v>434.5</v>
      </c>
      <c r="O390" s="243">
        <v>434.5</v>
      </c>
      <c r="P390" s="243">
        <v>434.5</v>
      </c>
      <c r="Q390" s="243">
        <v>434.5</v>
      </c>
      <c r="R390" s="243">
        <v>434.5</v>
      </c>
    </row>
    <row r="391" spans="1:18" s="114" customFormat="1" ht="23.25" customHeight="1">
      <c r="A391" s="545"/>
      <c r="B391" s="341" t="s">
        <v>903</v>
      </c>
      <c r="C391" s="558"/>
      <c r="D391" s="558"/>
      <c r="E391" s="558"/>
      <c r="F391" s="558"/>
      <c r="G391" s="558"/>
      <c r="H391" s="558"/>
      <c r="I391" s="555"/>
      <c r="J391" s="555"/>
      <c r="K391" s="617"/>
      <c r="L391" s="76" t="s">
        <v>43</v>
      </c>
      <c r="M391" s="508" t="s">
        <v>32</v>
      </c>
      <c r="N391" s="20">
        <v>443.23700000000002</v>
      </c>
      <c r="O391" s="20">
        <v>443.23700000000002</v>
      </c>
      <c r="P391" s="20">
        <v>401.3</v>
      </c>
      <c r="Q391" s="20">
        <v>444.6</v>
      </c>
      <c r="R391" s="20">
        <v>444.6</v>
      </c>
    </row>
    <row r="392" spans="1:18" s="114" customFormat="1" ht="265.5" customHeight="1">
      <c r="A392" s="575"/>
      <c r="B392" s="268"/>
      <c r="C392" s="558"/>
      <c r="D392" s="558"/>
      <c r="E392" s="558"/>
      <c r="F392" s="558"/>
      <c r="G392" s="558"/>
      <c r="H392" s="558"/>
      <c r="I392" s="555"/>
      <c r="J392" s="555"/>
      <c r="K392" s="617"/>
      <c r="L392" s="76" t="s">
        <v>43</v>
      </c>
      <c r="M392" s="508" t="s">
        <v>36</v>
      </c>
      <c r="N392" s="20">
        <v>11140.963</v>
      </c>
      <c r="O392" s="20">
        <v>10868.522000000001</v>
      </c>
      <c r="P392" s="20">
        <v>12931</v>
      </c>
      <c r="Q392" s="20">
        <v>14509.8</v>
      </c>
      <c r="R392" s="20">
        <v>14509.8</v>
      </c>
    </row>
    <row r="393" spans="1:18" s="115" customFormat="1" ht="60">
      <c r="A393" s="37" t="s">
        <v>660</v>
      </c>
      <c r="B393" s="467">
        <v>2000</v>
      </c>
      <c r="C393" s="264"/>
      <c r="D393" s="264"/>
      <c r="E393" s="265"/>
      <c r="F393" s="264"/>
      <c r="G393" s="264"/>
      <c r="H393" s="264"/>
      <c r="I393" s="264"/>
      <c r="J393" s="266"/>
      <c r="K393" s="266"/>
      <c r="L393" s="467"/>
      <c r="M393" s="467"/>
      <c r="N393" s="38">
        <f t="shared" ref="N393:O393" si="70">SUM(N394:N397)</f>
        <v>598788.9</v>
      </c>
      <c r="O393" s="38">
        <f t="shared" si="70"/>
        <v>598751.79999999993</v>
      </c>
      <c r="P393" s="38">
        <f>SUM(P394:P397)</f>
        <v>613208.9</v>
      </c>
      <c r="Q393" s="38">
        <f t="shared" ref="Q393:R393" si="71">SUM(Q394:Q397)</f>
        <v>598037.80000000005</v>
      </c>
      <c r="R393" s="38">
        <f t="shared" si="71"/>
        <v>598037.80000000005</v>
      </c>
    </row>
    <row r="394" spans="1:18" s="115" customFormat="1" ht="276" customHeight="1">
      <c r="A394" s="108" t="s">
        <v>1420</v>
      </c>
      <c r="B394" s="140" t="s">
        <v>1422</v>
      </c>
      <c r="C394" s="559" t="s">
        <v>226</v>
      </c>
      <c r="D394" s="559" t="s">
        <v>193</v>
      </c>
      <c r="E394" s="559" t="s">
        <v>227</v>
      </c>
      <c r="F394" s="667" t="s">
        <v>298</v>
      </c>
      <c r="G394" s="559" t="s">
        <v>248</v>
      </c>
      <c r="H394" s="559" t="s">
        <v>299</v>
      </c>
      <c r="I394" s="514" t="s">
        <v>1078</v>
      </c>
      <c r="J394" s="442" t="s">
        <v>68</v>
      </c>
      <c r="K394" s="437" t="s">
        <v>879</v>
      </c>
      <c r="L394" s="234" t="s">
        <v>43</v>
      </c>
      <c r="M394" s="508" t="s">
        <v>36</v>
      </c>
      <c r="N394" s="20">
        <v>261418.7</v>
      </c>
      <c r="O394" s="20">
        <v>261418.7</v>
      </c>
      <c r="P394" s="20">
        <v>267926.8</v>
      </c>
      <c r="Q394" s="20">
        <v>260019.3</v>
      </c>
      <c r="R394" s="20">
        <v>260019.3</v>
      </c>
    </row>
    <row r="395" spans="1:18" s="115" customFormat="1" ht="144" customHeight="1">
      <c r="A395" s="576" t="s">
        <v>1421</v>
      </c>
      <c r="B395" s="638" t="s">
        <v>1423</v>
      </c>
      <c r="C395" s="552"/>
      <c r="D395" s="552"/>
      <c r="E395" s="552"/>
      <c r="F395" s="668"/>
      <c r="G395" s="552"/>
      <c r="H395" s="552"/>
      <c r="I395" s="438" t="s">
        <v>1079</v>
      </c>
      <c r="J395" s="452" t="s">
        <v>68</v>
      </c>
      <c r="K395" s="455" t="s">
        <v>374</v>
      </c>
      <c r="L395" s="234" t="s">
        <v>43</v>
      </c>
      <c r="M395" s="508" t="s">
        <v>36</v>
      </c>
      <c r="N395" s="20">
        <v>230863</v>
      </c>
      <c r="O395" s="20">
        <v>230825.9</v>
      </c>
      <c r="P395" s="20">
        <v>236922.8</v>
      </c>
      <c r="Q395" s="20">
        <v>229659.2</v>
      </c>
      <c r="R395" s="20">
        <v>229659.2</v>
      </c>
    </row>
    <row r="396" spans="1:18" s="115" customFormat="1" ht="121.5" customHeight="1">
      <c r="A396" s="575"/>
      <c r="B396" s="666"/>
      <c r="C396" s="552"/>
      <c r="D396" s="552"/>
      <c r="E396" s="552"/>
      <c r="F396" s="668"/>
      <c r="G396" s="552"/>
      <c r="H396" s="552"/>
      <c r="I396" s="439" t="s">
        <v>878</v>
      </c>
      <c r="J396" s="431" t="s">
        <v>68</v>
      </c>
      <c r="K396" s="431" t="s">
        <v>879</v>
      </c>
      <c r="L396" s="75"/>
      <c r="M396" s="508"/>
      <c r="N396" s="20"/>
      <c r="O396" s="20"/>
      <c r="P396" s="20"/>
      <c r="Q396" s="20"/>
      <c r="R396" s="20"/>
    </row>
    <row r="397" spans="1:18" s="114" customFormat="1" ht="265.5" customHeight="1">
      <c r="A397" s="470" t="s">
        <v>661</v>
      </c>
      <c r="B397" s="507" t="s">
        <v>714</v>
      </c>
      <c r="C397" s="560"/>
      <c r="D397" s="560"/>
      <c r="E397" s="560"/>
      <c r="F397" s="669"/>
      <c r="G397" s="560"/>
      <c r="H397" s="560"/>
      <c r="I397" s="432" t="s">
        <v>300</v>
      </c>
      <c r="J397" s="449" t="s">
        <v>68</v>
      </c>
      <c r="K397" s="450" t="s">
        <v>301</v>
      </c>
      <c r="L397" s="71" t="s">
        <v>43</v>
      </c>
      <c r="M397" s="508" t="s">
        <v>32</v>
      </c>
      <c r="N397" s="20">
        <v>106507.2</v>
      </c>
      <c r="O397" s="20">
        <v>106507.2</v>
      </c>
      <c r="P397" s="20">
        <v>108359.3</v>
      </c>
      <c r="Q397" s="20">
        <v>108359.3</v>
      </c>
      <c r="R397" s="20">
        <v>108359.3</v>
      </c>
    </row>
    <row r="398" spans="1:18" s="115" customFormat="1" ht="96.75" customHeight="1">
      <c r="A398" s="37" t="s">
        <v>662</v>
      </c>
      <c r="B398" s="467">
        <v>2100</v>
      </c>
      <c r="C398" s="467" t="s">
        <v>29</v>
      </c>
      <c r="D398" s="467" t="s">
        <v>29</v>
      </c>
      <c r="E398" s="467" t="s">
        <v>29</v>
      </c>
      <c r="F398" s="467" t="s">
        <v>29</v>
      </c>
      <c r="G398" s="467" t="s">
        <v>29</v>
      </c>
      <c r="H398" s="467" t="s">
        <v>29</v>
      </c>
      <c r="I398" s="467" t="s">
        <v>29</v>
      </c>
      <c r="J398" s="467" t="s">
        <v>29</v>
      </c>
      <c r="K398" s="467" t="s">
        <v>29</v>
      </c>
      <c r="L398" s="467"/>
      <c r="M398" s="467"/>
      <c r="N398" s="38">
        <f>N399+N403+N407</f>
        <v>413216.24800000002</v>
      </c>
      <c r="O398" s="38">
        <f t="shared" ref="O398" si="72">O399+O403+O407</f>
        <v>390281.75</v>
      </c>
      <c r="P398" s="38">
        <f>P399+P403+P407</f>
        <v>289300.97921999998</v>
      </c>
      <c r="Q398" s="38">
        <f>Q399+Q403+Q407</f>
        <v>131862.859</v>
      </c>
      <c r="R398" s="38">
        <f t="shared" ref="R398" si="73">R399+R403+R407</f>
        <v>135004.15899999999</v>
      </c>
    </row>
    <row r="399" spans="1:18" s="115" customFormat="1" ht="36">
      <c r="A399" s="79" t="s">
        <v>663</v>
      </c>
      <c r="B399" s="484">
        <v>2101</v>
      </c>
      <c r="C399" s="484"/>
      <c r="D399" s="484"/>
      <c r="E399" s="484"/>
      <c r="F399" s="484"/>
      <c r="G399" s="484"/>
      <c r="H399" s="484"/>
      <c r="I399" s="484"/>
      <c r="J399" s="484"/>
      <c r="K399" s="484"/>
      <c r="L399" s="484"/>
      <c r="M399" s="484"/>
      <c r="N399" s="97">
        <f t="shared" ref="N399:O399" si="74">SUM(N401:N402)</f>
        <v>56343.4</v>
      </c>
      <c r="O399" s="97">
        <f t="shared" si="74"/>
        <v>56343.4</v>
      </c>
      <c r="P399" s="97">
        <f>SUM(P401:P402)</f>
        <v>60000</v>
      </c>
      <c r="Q399" s="97">
        <f t="shared" ref="Q399:R399" si="75">SUM(Q401:Q402)</f>
        <v>60888</v>
      </c>
      <c r="R399" s="97">
        <f t="shared" si="75"/>
        <v>61007.3</v>
      </c>
    </row>
    <row r="400" spans="1:18" s="115" customFormat="1" ht="12">
      <c r="A400" s="69" t="s">
        <v>97</v>
      </c>
      <c r="B400" s="493"/>
      <c r="C400" s="493"/>
      <c r="D400" s="493"/>
      <c r="E400" s="493"/>
      <c r="F400" s="493"/>
      <c r="G400" s="493"/>
      <c r="H400" s="493"/>
      <c r="I400" s="493"/>
      <c r="J400" s="493"/>
      <c r="K400" s="493"/>
      <c r="L400" s="493"/>
      <c r="M400" s="493"/>
      <c r="N400" s="98"/>
      <c r="O400" s="98"/>
      <c r="P400" s="98"/>
      <c r="Q400" s="98"/>
      <c r="R400" s="98"/>
    </row>
    <row r="401" spans="1:18" s="114" customFormat="1" ht="119.25" customHeight="1">
      <c r="A401" s="45"/>
      <c r="B401" s="509" t="s">
        <v>553</v>
      </c>
      <c r="C401" s="27" t="s">
        <v>56</v>
      </c>
      <c r="D401" s="26" t="s">
        <v>310</v>
      </c>
      <c r="E401" s="27" t="s">
        <v>57</v>
      </c>
      <c r="F401" s="27" t="s">
        <v>222</v>
      </c>
      <c r="G401" s="27" t="s">
        <v>223</v>
      </c>
      <c r="H401" s="27" t="s">
        <v>218</v>
      </c>
      <c r="I401" s="27" t="s">
        <v>224</v>
      </c>
      <c r="J401" s="28" t="s">
        <v>70</v>
      </c>
      <c r="K401" s="28" t="s">
        <v>225</v>
      </c>
      <c r="L401" s="459" t="s">
        <v>27</v>
      </c>
      <c r="M401" s="459" t="s">
        <v>32</v>
      </c>
      <c r="N401" s="53">
        <v>56343.4</v>
      </c>
      <c r="O401" s="53">
        <v>56343.4</v>
      </c>
      <c r="P401" s="53">
        <f>11083.2+48916.8</f>
        <v>60000</v>
      </c>
      <c r="Q401" s="53">
        <v>60888</v>
      </c>
      <c r="R401" s="171">
        <v>61007.3</v>
      </c>
    </row>
    <row r="402" spans="1:18" s="114" customFormat="1" ht="60">
      <c r="A402" s="45"/>
      <c r="B402" s="459"/>
      <c r="C402" s="26"/>
      <c r="D402" s="26"/>
      <c r="E402" s="26"/>
      <c r="F402" s="26" t="s">
        <v>848</v>
      </c>
      <c r="G402" s="26" t="s">
        <v>311</v>
      </c>
      <c r="H402" s="26" t="s">
        <v>63</v>
      </c>
      <c r="I402" s="26" t="s">
        <v>1068</v>
      </c>
      <c r="J402" s="26" t="s">
        <v>202</v>
      </c>
      <c r="K402" s="26" t="s">
        <v>312</v>
      </c>
      <c r="L402" s="448"/>
      <c r="M402" s="448"/>
      <c r="N402" s="58"/>
      <c r="O402" s="58"/>
      <c r="P402" s="58"/>
      <c r="Q402" s="58"/>
      <c r="R402" s="173"/>
    </row>
    <row r="403" spans="1:18" s="115" customFormat="1" ht="144">
      <c r="A403" s="37" t="s">
        <v>664</v>
      </c>
      <c r="B403" s="467">
        <v>2103</v>
      </c>
      <c r="C403" s="467" t="s">
        <v>29</v>
      </c>
      <c r="D403" s="467" t="s">
        <v>29</v>
      </c>
      <c r="E403" s="467" t="s">
        <v>29</v>
      </c>
      <c r="F403" s="467" t="s">
        <v>29</v>
      </c>
      <c r="G403" s="467" t="s">
        <v>29</v>
      </c>
      <c r="H403" s="467" t="s">
        <v>29</v>
      </c>
      <c r="I403" s="467" t="s">
        <v>29</v>
      </c>
      <c r="J403" s="467" t="s">
        <v>29</v>
      </c>
      <c r="K403" s="467" t="s">
        <v>29</v>
      </c>
      <c r="L403" s="467"/>
      <c r="M403" s="467"/>
      <c r="N403" s="38">
        <f>SUM(N404:N405)</f>
        <v>11212.33</v>
      </c>
      <c r="O403" s="38">
        <f>SUM(O404:O405)</f>
        <v>11212.285</v>
      </c>
      <c r="P403" s="38">
        <f>SUM(P404:P405)</f>
        <v>9351.4593199999999</v>
      </c>
      <c r="Q403" s="38">
        <f>SUM(Q404:Q405)</f>
        <v>9335.3590000000004</v>
      </c>
      <c r="R403" s="38">
        <f t="shared" ref="R403" si="76">SUM(R404:R405)</f>
        <v>9400.3590000000004</v>
      </c>
    </row>
    <row r="404" spans="1:18" s="114" customFormat="1" ht="96">
      <c r="A404" s="52" t="s">
        <v>665</v>
      </c>
      <c r="B404" s="447" t="s">
        <v>1424</v>
      </c>
      <c r="C404" s="186" t="s">
        <v>313</v>
      </c>
      <c r="D404" s="186" t="s">
        <v>314</v>
      </c>
      <c r="E404" s="186" t="s">
        <v>315</v>
      </c>
      <c r="F404" s="186" t="s">
        <v>1271</v>
      </c>
      <c r="G404" s="186" t="s">
        <v>124</v>
      </c>
      <c r="H404" s="186" t="s">
        <v>1272</v>
      </c>
      <c r="I404" s="447" t="s">
        <v>1328</v>
      </c>
      <c r="J404" s="52" t="s">
        <v>68</v>
      </c>
      <c r="K404" s="447" t="s">
        <v>1272</v>
      </c>
      <c r="L404" s="447" t="s">
        <v>36</v>
      </c>
      <c r="M404" s="447" t="s">
        <v>41</v>
      </c>
      <c r="N404" s="52">
        <v>1242.5999999999999</v>
      </c>
      <c r="O404" s="20">
        <v>1242.5999999999999</v>
      </c>
      <c r="P404" s="394">
        <v>1282.0999999999999</v>
      </c>
      <c r="Q404" s="394">
        <v>1266</v>
      </c>
      <c r="R404" s="395">
        <v>1331</v>
      </c>
    </row>
    <row r="405" spans="1:18" s="114" customFormat="1" ht="60" customHeight="1">
      <c r="A405" s="52" t="s">
        <v>666</v>
      </c>
      <c r="B405" s="447" t="s">
        <v>1425</v>
      </c>
      <c r="C405" s="559" t="s">
        <v>192</v>
      </c>
      <c r="D405" s="559" t="s">
        <v>234</v>
      </c>
      <c r="E405" s="559" t="s">
        <v>194</v>
      </c>
      <c r="F405" s="559" t="s">
        <v>235</v>
      </c>
      <c r="G405" s="559" t="s">
        <v>236</v>
      </c>
      <c r="H405" s="655" t="s">
        <v>237</v>
      </c>
      <c r="I405" s="543" t="s">
        <v>1257</v>
      </c>
      <c r="J405" s="543" t="s">
        <v>68</v>
      </c>
      <c r="K405" s="543" t="s">
        <v>1258</v>
      </c>
      <c r="L405" s="497" t="s">
        <v>23</v>
      </c>
      <c r="M405" s="497" t="s">
        <v>37</v>
      </c>
      <c r="N405" s="269">
        <f>7584.188+405.54+1980.002</f>
        <v>9969.73</v>
      </c>
      <c r="O405" s="269">
        <f>7584.143+405.54+1980.002</f>
        <v>9969.6849999999995</v>
      </c>
      <c r="P405" s="269">
        <f>5562.8533+426.10602+2080.4</f>
        <v>8069.3593199999996</v>
      </c>
      <c r="Q405" s="269">
        <v>8069.3590000000004</v>
      </c>
      <c r="R405" s="269">
        <v>8069.3590000000004</v>
      </c>
    </row>
    <row r="406" spans="1:18" s="114" customFormat="1" ht="96" customHeight="1">
      <c r="A406" s="48"/>
      <c r="B406" s="448"/>
      <c r="C406" s="560"/>
      <c r="D406" s="560"/>
      <c r="E406" s="560"/>
      <c r="F406" s="560"/>
      <c r="G406" s="560"/>
      <c r="H406" s="656"/>
      <c r="I406" s="631"/>
      <c r="J406" s="631"/>
      <c r="K406" s="631"/>
      <c r="L406" s="501"/>
      <c r="M406" s="501"/>
      <c r="N406" s="70"/>
      <c r="O406" s="70"/>
      <c r="P406" s="70"/>
      <c r="Q406" s="70"/>
      <c r="R406" s="70"/>
    </row>
    <row r="407" spans="1:18" s="115" customFormat="1" ht="24" customHeight="1">
      <c r="A407" s="37" t="s">
        <v>667</v>
      </c>
      <c r="B407" s="467">
        <v>2200</v>
      </c>
      <c r="C407" s="467" t="s">
        <v>29</v>
      </c>
      <c r="D407" s="467" t="s">
        <v>29</v>
      </c>
      <c r="E407" s="467" t="s">
        <v>29</v>
      </c>
      <c r="F407" s="467" t="s">
        <v>29</v>
      </c>
      <c r="G407" s="467" t="s">
        <v>29</v>
      </c>
      <c r="H407" s="467" t="s">
        <v>29</v>
      </c>
      <c r="I407" s="467" t="s">
        <v>29</v>
      </c>
      <c r="J407" s="467" t="s">
        <v>29</v>
      </c>
      <c r="K407" s="467" t="s">
        <v>29</v>
      </c>
      <c r="L407" s="468"/>
      <c r="M407" s="468"/>
      <c r="N407" s="56">
        <f>N408</f>
        <v>345660.51800000004</v>
      </c>
      <c r="O407" s="56">
        <f t="shared" ref="O407:R407" si="77">O408</f>
        <v>322726.065</v>
      </c>
      <c r="P407" s="56">
        <f t="shared" si="77"/>
        <v>219949.51990000001</v>
      </c>
      <c r="Q407" s="56">
        <f t="shared" si="77"/>
        <v>61639.5</v>
      </c>
      <c r="R407" s="56">
        <f t="shared" si="77"/>
        <v>64596.5</v>
      </c>
    </row>
    <row r="408" spans="1:18" s="115" customFormat="1" ht="36" customHeight="1">
      <c r="A408" s="37" t="s">
        <v>668</v>
      </c>
      <c r="B408" s="467">
        <v>2300</v>
      </c>
      <c r="C408" s="467" t="s">
        <v>29</v>
      </c>
      <c r="D408" s="467" t="s">
        <v>29</v>
      </c>
      <c r="E408" s="467" t="s">
        <v>29</v>
      </c>
      <c r="F408" s="467" t="s">
        <v>29</v>
      </c>
      <c r="G408" s="467" t="s">
        <v>29</v>
      </c>
      <c r="H408" s="467" t="s">
        <v>29</v>
      </c>
      <c r="I408" s="467" t="s">
        <v>29</v>
      </c>
      <c r="J408" s="467" t="s">
        <v>29</v>
      </c>
      <c r="K408" s="467" t="s">
        <v>29</v>
      </c>
      <c r="L408" s="467"/>
      <c r="M408" s="467"/>
      <c r="N408" s="38">
        <f>N409+N415+N447+N455+N458+N469+N480+N483+N484+N486+N498+N504+N527+N528+N529+N533+N537+N536+N539+N540+N542</f>
        <v>345660.51800000004</v>
      </c>
      <c r="O408" s="38">
        <f>O409+O415+O447+O455+O458+O469+O480+O483+O484+O486+O498+O504+O527+O528+O529+O533+O537+O536+O539+O540+O542</f>
        <v>322726.065</v>
      </c>
      <c r="P408" s="38">
        <f>P409+P415+P447+P455+P458+P467+P469+P480+P483+P484+P486+P498+P504+P527+P528+P529+P533+P537+P536+P539+P540+P542</f>
        <v>219949.51990000001</v>
      </c>
      <c r="Q408" s="38">
        <f>Q409+Q415+Q447+Q455+Q458+Q469+Q480+Q483+Q484+Q486+Q498+Q504+Q527+Q528+Q529+Q533+Q537+Q536+Q539+Q540+Q542</f>
        <v>61639.5</v>
      </c>
      <c r="R408" s="38">
        <f>R409+R415+R447+R455+R458+R469+R480+R483+R484+R486+R498+R504+R527+R528+R529+R533+R537+R536+R539+R540+R542</f>
        <v>64596.5</v>
      </c>
    </row>
    <row r="409" spans="1:18" s="115" customFormat="1" ht="46.5" customHeight="1">
      <c r="A409" s="37" t="s">
        <v>669</v>
      </c>
      <c r="B409" s="467">
        <v>2301</v>
      </c>
      <c r="C409" s="37" t="s">
        <v>31</v>
      </c>
      <c r="D409" s="37" t="s">
        <v>31</v>
      </c>
      <c r="E409" s="37" t="s">
        <v>31</v>
      </c>
      <c r="F409" s="37" t="s">
        <v>31</v>
      </c>
      <c r="G409" s="37" t="s">
        <v>31</v>
      </c>
      <c r="H409" s="37" t="s">
        <v>31</v>
      </c>
      <c r="I409" s="29"/>
      <c r="J409" s="29"/>
      <c r="K409" s="30"/>
      <c r="L409" s="467"/>
      <c r="M409" s="467"/>
      <c r="N409" s="38">
        <f>SUM(N410:N414)</f>
        <v>490.27499999999998</v>
      </c>
      <c r="O409" s="38">
        <f t="shared" ref="O409:R409" si="78">SUM(O410:O414)</f>
        <v>490.27499999999998</v>
      </c>
      <c r="P409" s="38">
        <f t="shared" si="78"/>
        <v>0</v>
      </c>
      <c r="Q409" s="38">
        <f t="shared" si="78"/>
        <v>0</v>
      </c>
      <c r="R409" s="38">
        <f t="shared" si="78"/>
        <v>0</v>
      </c>
    </row>
    <row r="410" spans="1:18" s="114" customFormat="1" ht="72.75" customHeight="1">
      <c r="A410" s="99" t="s">
        <v>1261</v>
      </c>
      <c r="B410" s="100" t="s">
        <v>455</v>
      </c>
      <c r="C410" s="99"/>
      <c r="D410" s="99"/>
      <c r="E410" s="99"/>
      <c r="F410" s="99"/>
      <c r="G410" s="99"/>
      <c r="H410" s="99"/>
      <c r="I410" s="463" t="s">
        <v>1059</v>
      </c>
      <c r="J410" s="463" t="s">
        <v>68</v>
      </c>
      <c r="K410" s="496" t="s">
        <v>866</v>
      </c>
      <c r="L410" s="100" t="s">
        <v>32</v>
      </c>
      <c r="M410" s="100" t="s">
        <v>26</v>
      </c>
      <c r="N410" s="270">
        <v>343.27499999999998</v>
      </c>
      <c r="O410" s="270">
        <v>343.27499999999998</v>
      </c>
      <c r="P410" s="110">
        <v>0</v>
      </c>
      <c r="Q410" s="270">
        <v>0</v>
      </c>
      <c r="R410" s="270">
        <v>0</v>
      </c>
    </row>
    <row r="411" spans="1:18" s="114" customFormat="1" ht="60.75" customHeight="1">
      <c r="A411" s="54" t="s">
        <v>1262</v>
      </c>
      <c r="B411" s="518" t="s">
        <v>852</v>
      </c>
      <c r="C411" s="101"/>
      <c r="D411" s="101"/>
      <c r="E411" s="101"/>
      <c r="F411" s="101"/>
      <c r="G411" s="101"/>
      <c r="H411" s="101"/>
      <c r="I411" s="463" t="s">
        <v>867</v>
      </c>
      <c r="J411" s="440" t="s">
        <v>68</v>
      </c>
      <c r="K411" s="504" t="s">
        <v>866</v>
      </c>
      <c r="L411" s="518" t="s">
        <v>32</v>
      </c>
      <c r="M411" s="518" t="s">
        <v>26</v>
      </c>
      <c r="N411" s="331">
        <v>30</v>
      </c>
      <c r="O411" s="331">
        <v>30</v>
      </c>
      <c r="P411" s="88">
        <v>0</v>
      </c>
      <c r="Q411" s="331">
        <v>0</v>
      </c>
      <c r="R411" s="331">
        <v>0</v>
      </c>
    </row>
    <row r="412" spans="1:18" s="114" customFormat="1" ht="60" customHeight="1">
      <c r="A412" s="99" t="s">
        <v>1263</v>
      </c>
      <c r="B412" s="100" t="s">
        <v>538</v>
      </c>
      <c r="C412" s="99"/>
      <c r="D412" s="99"/>
      <c r="E412" s="99"/>
      <c r="F412" s="99"/>
      <c r="G412" s="99"/>
      <c r="H412" s="99"/>
      <c r="I412" s="463" t="s">
        <v>865</v>
      </c>
      <c r="J412" s="463" t="s">
        <v>68</v>
      </c>
      <c r="K412" s="496" t="s">
        <v>866</v>
      </c>
      <c r="L412" s="100" t="s">
        <v>32</v>
      </c>
      <c r="M412" s="100" t="s">
        <v>26</v>
      </c>
      <c r="N412" s="270">
        <v>75</v>
      </c>
      <c r="O412" s="270">
        <v>75</v>
      </c>
      <c r="P412" s="110">
        <v>0</v>
      </c>
      <c r="Q412" s="270">
        <v>0</v>
      </c>
      <c r="R412" s="270">
        <v>0</v>
      </c>
    </row>
    <row r="413" spans="1:18" s="114" customFormat="1" ht="84.75" customHeight="1">
      <c r="A413" s="99" t="s">
        <v>1264</v>
      </c>
      <c r="B413" s="100" t="s">
        <v>502</v>
      </c>
      <c r="C413" s="99"/>
      <c r="D413" s="99"/>
      <c r="E413" s="99"/>
      <c r="F413" s="99"/>
      <c r="G413" s="99"/>
      <c r="H413" s="99"/>
      <c r="I413" s="463" t="s">
        <v>994</v>
      </c>
      <c r="J413" s="463" t="s">
        <v>68</v>
      </c>
      <c r="K413" s="496" t="s">
        <v>995</v>
      </c>
      <c r="L413" s="100" t="s">
        <v>32</v>
      </c>
      <c r="M413" s="100" t="s">
        <v>26</v>
      </c>
      <c r="N413" s="270">
        <v>22</v>
      </c>
      <c r="O413" s="270">
        <v>22</v>
      </c>
      <c r="P413" s="110">
        <v>0</v>
      </c>
      <c r="Q413" s="270">
        <v>0</v>
      </c>
      <c r="R413" s="270">
        <v>0</v>
      </c>
    </row>
    <row r="414" spans="1:18" s="114" customFormat="1" ht="72" customHeight="1">
      <c r="A414" s="99" t="s">
        <v>1265</v>
      </c>
      <c r="B414" s="100" t="s">
        <v>986</v>
      </c>
      <c r="C414" s="99"/>
      <c r="D414" s="99"/>
      <c r="E414" s="99"/>
      <c r="F414" s="99"/>
      <c r="G414" s="99"/>
      <c r="H414" s="99"/>
      <c r="I414" s="463" t="s">
        <v>996</v>
      </c>
      <c r="J414" s="463" t="s">
        <v>68</v>
      </c>
      <c r="K414" s="496" t="s">
        <v>995</v>
      </c>
      <c r="L414" s="100" t="s">
        <v>32</v>
      </c>
      <c r="M414" s="100" t="s">
        <v>26</v>
      </c>
      <c r="N414" s="270">
        <v>20</v>
      </c>
      <c r="O414" s="270">
        <v>20</v>
      </c>
      <c r="P414" s="110">
        <v>0</v>
      </c>
      <c r="Q414" s="270">
        <v>0</v>
      </c>
      <c r="R414" s="270">
        <v>0</v>
      </c>
    </row>
    <row r="415" spans="1:18" s="115" customFormat="1" ht="84">
      <c r="A415" s="55" t="s">
        <v>670</v>
      </c>
      <c r="B415" s="468">
        <v>2302</v>
      </c>
      <c r="C415" s="55" t="s">
        <v>31</v>
      </c>
      <c r="D415" s="55" t="s">
        <v>31</v>
      </c>
      <c r="E415" s="55" t="s">
        <v>31</v>
      </c>
      <c r="F415" s="55" t="s">
        <v>31</v>
      </c>
      <c r="G415" s="55" t="s">
        <v>31</v>
      </c>
      <c r="H415" s="55" t="s">
        <v>31</v>
      </c>
      <c r="I415" s="55" t="s">
        <v>31</v>
      </c>
      <c r="J415" s="55" t="s">
        <v>31</v>
      </c>
      <c r="K415" s="55" t="s">
        <v>31</v>
      </c>
      <c r="L415" s="468"/>
      <c r="M415" s="468"/>
      <c r="N415" s="56">
        <f t="shared" ref="N415:O415" si="79">SUM(N418:N446)</f>
        <v>114565.375</v>
      </c>
      <c r="O415" s="56">
        <f t="shared" si="79"/>
        <v>108249.488</v>
      </c>
      <c r="P415" s="56">
        <f>SUM(P418:P446)</f>
        <v>45265.255000000005</v>
      </c>
      <c r="Q415" s="56">
        <f t="shared" ref="Q415:R415" si="80">SUM(Q418:Q446)</f>
        <v>0</v>
      </c>
      <c r="R415" s="56">
        <f t="shared" si="80"/>
        <v>0</v>
      </c>
    </row>
    <row r="416" spans="1:18" s="114" customFormat="1" ht="12">
      <c r="A416" s="37" t="s">
        <v>97</v>
      </c>
      <c r="B416" s="447"/>
      <c r="C416" s="52"/>
      <c r="D416" s="52"/>
      <c r="E416" s="52"/>
      <c r="F416" s="52"/>
      <c r="G416" s="95"/>
      <c r="H416" s="99"/>
      <c r="I416" s="99"/>
      <c r="J416" s="99"/>
      <c r="K416" s="99"/>
      <c r="L416" s="49"/>
      <c r="M416" s="447"/>
      <c r="N416" s="20"/>
      <c r="O416" s="20"/>
      <c r="P416" s="20"/>
      <c r="Q416" s="20"/>
      <c r="R416" s="170"/>
    </row>
    <row r="417" spans="1:18" s="114" customFormat="1" ht="24">
      <c r="A417" s="37" t="s">
        <v>671</v>
      </c>
      <c r="B417" s="447"/>
      <c r="C417" s="52"/>
      <c r="D417" s="52"/>
      <c r="E417" s="52"/>
      <c r="F417" s="52"/>
      <c r="G417" s="95"/>
      <c r="H417" s="99"/>
      <c r="I417" s="99"/>
      <c r="J417" s="99"/>
      <c r="K417" s="99"/>
      <c r="L417" s="49"/>
      <c r="M417" s="447"/>
      <c r="N417" s="20"/>
      <c r="O417" s="20"/>
      <c r="P417" s="52"/>
      <c r="Q417" s="52"/>
      <c r="R417" s="174"/>
    </row>
    <row r="418" spans="1:18" s="114" customFormat="1" ht="84">
      <c r="A418" s="99" t="s">
        <v>1131</v>
      </c>
      <c r="B418" s="100" t="s">
        <v>468</v>
      </c>
      <c r="C418" s="99"/>
      <c r="D418" s="99"/>
      <c r="E418" s="99"/>
      <c r="F418" s="99"/>
      <c r="G418" s="99"/>
      <c r="H418" s="99"/>
      <c r="I418" s="332" t="s">
        <v>1027</v>
      </c>
      <c r="J418" s="463" t="s">
        <v>68</v>
      </c>
      <c r="K418" s="496" t="s">
        <v>863</v>
      </c>
      <c r="L418" s="100" t="s">
        <v>35</v>
      </c>
      <c r="M418" s="100" t="s">
        <v>36</v>
      </c>
      <c r="N418" s="110">
        <v>3724.808</v>
      </c>
      <c r="O418" s="105">
        <v>2578.415</v>
      </c>
      <c r="P418" s="110">
        <v>0</v>
      </c>
      <c r="Q418" s="110">
        <v>0</v>
      </c>
      <c r="R418" s="110">
        <v>0</v>
      </c>
    </row>
    <row r="419" spans="1:18" s="114" customFormat="1" ht="72">
      <c r="A419" s="99" t="s">
        <v>1132</v>
      </c>
      <c r="B419" s="100" t="s">
        <v>869</v>
      </c>
      <c r="C419" s="99"/>
      <c r="D419" s="99"/>
      <c r="E419" s="99"/>
      <c r="F419" s="99"/>
      <c r="G419" s="99"/>
      <c r="H419" s="99"/>
      <c r="I419" s="332" t="s">
        <v>881</v>
      </c>
      <c r="J419" s="463" t="s">
        <v>68</v>
      </c>
      <c r="K419" s="496" t="s">
        <v>882</v>
      </c>
      <c r="L419" s="100" t="s">
        <v>35</v>
      </c>
      <c r="M419" s="100" t="s">
        <v>36</v>
      </c>
      <c r="N419" s="110">
        <v>708.22500000000002</v>
      </c>
      <c r="O419" s="105">
        <v>116.863</v>
      </c>
      <c r="P419" s="110">
        <v>0</v>
      </c>
      <c r="Q419" s="110">
        <v>0</v>
      </c>
      <c r="R419" s="110">
        <v>0</v>
      </c>
    </row>
    <row r="420" spans="1:18" s="114" customFormat="1" ht="77.25" customHeight="1">
      <c r="A420" s="99" t="s">
        <v>1133</v>
      </c>
      <c r="B420" s="100" t="s">
        <v>534</v>
      </c>
      <c r="C420" s="99"/>
      <c r="D420" s="99"/>
      <c r="E420" s="99"/>
      <c r="F420" s="99"/>
      <c r="G420" s="99"/>
      <c r="H420" s="99"/>
      <c r="I420" s="332" t="s">
        <v>1091</v>
      </c>
      <c r="J420" s="463" t="s">
        <v>68</v>
      </c>
      <c r="K420" s="496" t="s">
        <v>884</v>
      </c>
      <c r="L420" s="100" t="s">
        <v>35</v>
      </c>
      <c r="M420" s="100" t="s">
        <v>36</v>
      </c>
      <c r="N420" s="110">
        <v>47000</v>
      </c>
      <c r="O420" s="105">
        <v>47000</v>
      </c>
      <c r="P420" s="110">
        <v>0</v>
      </c>
      <c r="Q420" s="110">
        <v>0</v>
      </c>
      <c r="R420" s="110">
        <v>0</v>
      </c>
    </row>
    <row r="421" spans="1:18" s="114" customFormat="1" ht="48">
      <c r="A421" s="99" t="s">
        <v>1134</v>
      </c>
      <c r="B421" s="100" t="s">
        <v>485</v>
      </c>
      <c r="C421" s="99"/>
      <c r="D421" s="99"/>
      <c r="E421" s="99"/>
      <c r="F421" s="99"/>
      <c r="G421" s="99"/>
      <c r="H421" s="99"/>
      <c r="I421" s="332" t="s">
        <v>955</v>
      </c>
      <c r="J421" s="463" t="s">
        <v>68</v>
      </c>
      <c r="K421" s="496" t="s">
        <v>956</v>
      </c>
      <c r="L421" s="100" t="s">
        <v>35</v>
      </c>
      <c r="M421" s="100" t="s">
        <v>36</v>
      </c>
      <c r="N421" s="110">
        <v>1940</v>
      </c>
      <c r="O421" s="105">
        <v>1940</v>
      </c>
      <c r="P421" s="110">
        <v>0</v>
      </c>
      <c r="Q421" s="110">
        <v>0</v>
      </c>
      <c r="R421" s="110">
        <v>0</v>
      </c>
    </row>
    <row r="422" spans="1:18" s="114" customFormat="1" ht="60">
      <c r="A422" s="99" t="s">
        <v>1135</v>
      </c>
      <c r="B422" s="100" t="s">
        <v>484</v>
      </c>
      <c r="C422" s="99"/>
      <c r="D422" s="99"/>
      <c r="E422" s="99"/>
      <c r="F422" s="99"/>
      <c r="G422" s="99"/>
      <c r="H422" s="99"/>
      <c r="I422" s="332" t="s">
        <v>957</v>
      </c>
      <c r="J422" s="463" t="s">
        <v>68</v>
      </c>
      <c r="K422" s="496" t="s">
        <v>956</v>
      </c>
      <c r="L422" s="100" t="s">
        <v>35</v>
      </c>
      <c r="M422" s="100" t="s">
        <v>36</v>
      </c>
      <c r="N422" s="110">
        <v>350</v>
      </c>
      <c r="O422" s="105">
        <v>350</v>
      </c>
      <c r="P422" s="110">
        <v>0</v>
      </c>
      <c r="Q422" s="110">
        <v>0</v>
      </c>
      <c r="R422" s="110">
        <v>0</v>
      </c>
    </row>
    <row r="423" spans="1:18" s="114" customFormat="1" ht="60">
      <c r="A423" s="99" t="s">
        <v>1136</v>
      </c>
      <c r="B423" s="100" t="s">
        <v>482</v>
      </c>
      <c r="C423" s="99"/>
      <c r="D423" s="99"/>
      <c r="E423" s="99"/>
      <c r="F423" s="99"/>
      <c r="G423" s="99"/>
      <c r="H423" s="99"/>
      <c r="I423" s="332" t="s">
        <v>1089</v>
      </c>
      <c r="J423" s="463" t="s">
        <v>68</v>
      </c>
      <c r="K423" s="496" t="s">
        <v>956</v>
      </c>
      <c r="L423" s="100" t="s">
        <v>35</v>
      </c>
      <c r="M423" s="100" t="s">
        <v>36</v>
      </c>
      <c r="N423" s="110">
        <v>910</v>
      </c>
      <c r="O423" s="105">
        <v>910</v>
      </c>
      <c r="P423" s="110">
        <v>0</v>
      </c>
      <c r="Q423" s="110">
        <v>0</v>
      </c>
      <c r="R423" s="110">
        <v>0</v>
      </c>
    </row>
    <row r="424" spans="1:18" s="114" customFormat="1" ht="60">
      <c r="A424" s="99" t="s">
        <v>1137</v>
      </c>
      <c r="B424" s="100" t="s">
        <v>498</v>
      </c>
      <c r="C424" s="99"/>
      <c r="D424" s="99"/>
      <c r="E424" s="99"/>
      <c r="F424" s="99"/>
      <c r="G424" s="99"/>
      <c r="H424" s="99"/>
      <c r="I424" s="332" t="s">
        <v>1000</v>
      </c>
      <c r="J424" s="463" t="s">
        <v>68</v>
      </c>
      <c r="K424" s="496" t="s">
        <v>995</v>
      </c>
      <c r="L424" s="100" t="s">
        <v>35</v>
      </c>
      <c r="M424" s="100" t="s">
        <v>36</v>
      </c>
      <c r="N424" s="110">
        <v>99.6</v>
      </c>
      <c r="O424" s="105">
        <v>99.6</v>
      </c>
      <c r="P424" s="110">
        <v>0</v>
      </c>
      <c r="Q424" s="110">
        <v>0</v>
      </c>
      <c r="R424" s="110">
        <v>0</v>
      </c>
    </row>
    <row r="425" spans="1:18" s="114" customFormat="1" ht="48">
      <c r="A425" s="99" t="s">
        <v>1138</v>
      </c>
      <c r="B425" s="100" t="s">
        <v>499</v>
      </c>
      <c r="C425" s="99"/>
      <c r="D425" s="99"/>
      <c r="E425" s="99"/>
      <c r="F425" s="99"/>
      <c r="G425" s="99"/>
      <c r="H425" s="99"/>
      <c r="I425" s="332" t="s">
        <v>999</v>
      </c>
      <c r="J425" s="463" t="s">
        <v>68</v>
      </c>
      <c r="K425" s="496" t="s">
        <v>995</v>
      </c>
      <c r="L425" s="100" t="s">
        <v>35</v>
      </c>
      <c r="M425" s="100" t="s">
        <v>36</v>
      </c>
      <c r="N425" s="110">
        <v>50</v>
      </c>
      <c r="O425" s="105">
        <v>50</v>
      </c>
      <c r="P425" s="110">
        <v>0</v>
      </c>
      <c r="Q425" s="110">
        <v>0</v>
      </c>
      <c r="R425" s="110">
        <v>0</v>
      </c>
    </row>
    <row r="426" spans="1:18" s="114" customFormat="1" ht="48">
      <c r="A426" s="99" t="s">
        <v>1139</v>
      </c>
      <c r="B426" s="100" t="s">
        <v>581</v>
      </c>
      <c r="C426" s="99"/>
      <c r="D426" s="99"/>
      <c r="E426" s="99"/>
      <c r="F426" s="99"/>
      <c r="G426" s="99"/>
      <c r="H426" s="99"/>
      <c r="I426" s="332" t="s">
        <v>1001</v>
      </c>
      <c r="J426" s="463" t="s">
        <v>68</v>
      </c>
      <c r="K426" s="496" t="s">
        <v>995</v>
      </c>
      <c r="L426" s="100" t="s">
        <v>35</v>
      </c>
      <c r="M426" s="100" t="s">
        <v>36</v>
      </c>
      <c r="N426" s="110">
        <v>230</v>
      </c>
      <c r="O426" s="105">
        <v>229.733</v>
      </c>
      <c r="P426" s="110">
        <v>0</v>
      </c>
      <c r="Q426" s="110">
        <v>0</v>
      </c>
      <c r="R426" s="110">
        <v>0</v>
      </c>
    </row>
    <row r="427" spans="1:18" s="114" customFormat="1" ht="72">
      <c r="A427" s="99" t="s">
        <v>1140</v>
      </c>
      <c r="B427" s="100" t="s">
        <v>583</v>
      </c>
      <c r="C427" s="99"/>
      <c r="D427" s="99"/>
      <c r="E427" s="99"/>
      <c r="F427" s="99"/>
      <c r="G427" s="99"/>
      <c r="H427" s="99"/>
      <c r="I427" s="332" t="s">
        <v>1070</v>
      </c>
      <c r="J427" s="463" t="s">
        <v>68</v>
      </c>
      <c r="K427" s="496" t="s">
        <v>995</v>
      </c>
      <c r="L427" s="100" t="s">
        <v>35</v>
      </c>
      <c r="M427" s="100" t="s">
        <v>36</v>
      </c>
      <c r="N427" s="110">
        <v>159.999</v>
      </c>
      <c r="O427" s="105">
        <v>159.999</v>
      </c>
      <c r="P427" s="110">
        <v>0</v>
      </c>
      <c r="Q427" s="110">
        <v>0</v>
      </c>
      <c r="R427" s="110">
        <v>0</v>
      </c>
    </row>
    <row r="428" spans="1:18" s="114" customFormat="1" ht="60">
      <c r="A428" s="99" t="s">
        <v>1141</v>
      </c>
      <c r="B428" s="100" t="s">
        <v>582</v>
      </c>
      <c r="C428" s="99"/>
      <c r="D428" s="99"/>
      <c r="E428" s="99"/>
      <c r="F428" s="99"/>
      <c r="G428" s="99"/>
      <c r="H428" s="99"/>
      <c r="I428" s="332" t="s">
        <v>1096</v>
      </c>
      <c r="J428" s="463" t="s">
        <v>68</v>
      </c>
      <c r="K428" s="496" t="s">
        <v>1026</v>
      </c>
      <c r="L428" s="100" t="s">
        <v>35</v>
      </c>
      <c r="M428" s="100" t="s">
        <v>36</v>
      </c>
      <c r="N428" s="110">
        <v>386.75</v>
      </c>
      <c r="O428" s="105">
        <v>179.333</v>
      </c>
      <c r="P428" s="110">
        <v>0</v>
      </c>
      <c r="Q428" s="110">
        <v>0</v>
      </c>
      <c r="R428" s="110">
        <v>0</v>
      </c>
    </row>
    <row r="429" spans="1:18" s="114" customFormat="1" ht="60">
      <c r="A429" s="99" t="s">
        <v>1142</v>
      </c>
      <c r="B429" s="100" t="s">
        <v>592</v>
      </c>
      <c r="C429" s="99"/>
      <c r="D429" s="99"/>
      <c r="E429" s="99"/>
      <c r="F429" s="99"/>
      <c r="G429" s="99"/>
      <c r="H429" s="99"/>
      <c r="I429" s="332" t="s">
        <v>1046</v>
      </c>
      <c r="J429" s="463" t="s">
        <v>68</v>
      </c>
      <c r="K429" s="496" t="s">
        <v>1047</v>
      </c>
      <c r="L429" s="100" t="s">
        <v>35</v>
      </c>
      <c r="M429" s="100" t="s">
        <v>36</v>
      </c>
      <c r="N429" s="110">
        <v>99</v>
      </c>
      <c r="O429" s="105">
        <v>99</v>
      </c>
      <c r="P429" s="110">
        <v>0</v>
      </c>
      <c r="Q429" s="110">
        <v>0</v>
      </c>
      <c r="R429" s="110">
        <v>0</v>
      </c>
    </row>
    <row r="430" spans="1:18" s="114" customFormat="1" ht="48">
      <c r="A430" s="99" t="s">
        <v>1143</v>
      </c>
      <c r="B430" s="100" t="s">
        <v>593</v>
      </c>
      <c r="C430" s="99"/>
      <c r="D430" s="99"/>
      <c r="E430" s="99"/>
      <c r="F430" s="99"/>
      <c r="G430" s="99"/>
      <c r="H430" s="99"/>
      <c r="I430" s="332" t="s">
        <v>1060</v>
      </c>
      <c r="J430" s="463" t="s">
        <v>68</v>
      </c>
      <c r="K430" s="496" t="s">
        <v>1061</v>
      </c>
      <c r="L430" s="100" t="s">
        <v>35</v>
      </c>
      <c r="M430" s="100" t="s">
        <v>36</v>
      </c>
      <c r="N430" s="110">
        <v>300</v>
      </c>
      <c r="O430" s="105">
        <v>299.99900000000002</v>
      </c>
      <c r="P430" s="110">
        <v>0</v>
      </c>
      <c r="Q430" s="110">
        <v>0</v>
      </c>
      <c r="R430" s="110">
        <v>0</v>
      </c>
    </row>
    <row r="431" spans="1:18" s="114" customFormat="1" ht="60">
      <c r="A431" s="99" t="s">
        <v>1144</v>
      </c>
      <c r="B431" s="100" t="s">
        <v>728</v>
      </c>
      <c r="C431" s="99"/>
      <c r="D431" s="99"/>
      <c r="E431" s="99"/>
      <c r="F431" s="99"/>
      <c r="G431" s="99"/>
      <c r="H431" s="99"/>
      <c r="I431" s="332" t="s">
        <v>1090</v>
      </c>
      <c r="J431" s="463" t="s">
        <v>68</v>
      </c>
      <c r="K431" s="496" t="s">
        <v>1064</v>
      </c>
      <c r="L431" s="100" t="s">
        <v>35</v>
      </c>
      <c r="M431" s="100" t="s">
        <v>36</v>
      </c>
      <c r="N431" s="110">
        <v>5500</v>
      </c>
      <c r="O431" s="105">
        <v>5500</v>
      </c>
      <c r="P431" s="110">
        <v>0</v>
      </c>
      <c r="Q431" s="110">
        <v>0</v>
      </c>
      <c r="R431" s="110">
        <v>0</v>
      </c>
    </row>
    <row r="432" spans="1:18" s="114" customFormat="1" ht="60">
      <c r="A432" s="99" t="s">
        <v>1145</v>
      </c>
      <c r="B432" s="100" t="s">
        <v>467</v>
      </c>
      <c r="C432" s="99"/>
      <c r="D432" s="99"/>
      <c r="E432" s="99"/>
      <c r="F432" s="99"/>
      <c r="G432" s="99"/>
      <c r="H432" s="99"/>
      <c r="I432" s="332" t="s">
        <v>1237</v>
      </c>
      <c r="J432" s="463" t="s">
        <v>68</v>
      </c>
      <c r="K432" s="496" t="s">
        <v>1238</v>
      </c>
      <c r="L432" s="100" t="s">
        <v>35</v>
      </c>
      <c r="M432" s="100" t="s">
        <v>36</v>
      </c>
      <c r="N432" s="110">
        <v>0</v>
      </c>
      <c r="O432" s="105">
        <v>0</v>
      </c>
      <c r="P432" s="110">
        <v>1460</v>
      </c>
      <c r="Q432" s="110">
        <v>0</v>
      </c>
      <c r="R432" s="110">
        <v>0</v>
      </c>
    </row>
    <row r="433" spans="1:18" s="114" customFormat="1" ht="72">
      <c r="A433" s="99" t="s">
        <v>1146</v>
      </c>
      <c r="B433" s="100" t="s">
        <v>1147</v>
      </c>
      <c r="C433" s="99"/>
      <c r="D433" s="99"/>
      <c r="E433" s="99"/>
      <c r="F433" s="99"/>
      <c r="G433" s="99"/>
      <c r="H433" s="99"/>
      <c r="I433" s="332" t="s">
        <v>1253</v>
      </c>
      <c r="J433" s="463" t="s">
        <v>68</v>
      </c>
      <c r="K433" s="496" t="s">
        <v>1254</v>
      </c>
      <c r="L433" s="100" t="s">
        <v>35</v>
      </c>
      <c r="M433" s="100" t="s">
        <v>36</v>
      </c>
      <c r="N433" s="110">
        <v>0</v>
      </c>
      <c r="O433" s="105">
        <v>0</v>
      </c>
      <c r="P433" s="110">
        <v>0</v>
      </c>
      <c r="Q433" s="110">
        <v>0</v>
      </c>
      <c r="R433" s="110">
        <v>0</v>
      </c>
    </row>
    <row r="434" spans="1:18" s="114" customFormat="1" ht="60">
      <c r="A434" s="99" t="s">
        <v>1148</v>
      </c>
      <c r="B434" s="100" t="s">
        <v>852</v>
      </c>
      <c r="C434" s="99"/>
      <c r="D434" s="99"/>
      <c r="E434" s="99"/>
      <c r="F434" s="99"/>
      <c r="G434" s="99"/>
      <c r="H434" s="99"/>
      <c r="I434" s="332" t="s">
        <v>1249</v>
      </c>
      <c r="J434" s="463" t="s">
        <v>68</v>
      </c>
      <c r="K434" s="496" t="s">
        <v>1247</v>
      </c>
      <c r="L434" s="100" t="s">
        <v>35</v>
      </c>
      <c r="M434" s="100" t="s">
        <v>36</v>
      </c>
      <c r="N434" s="110">
        <v>0</v>
      </c>
      <c r="O434" s="105">
        <v>0</v>
      </c>
      <c r="P434" s="110">
        <v>500</v>
      </c>
      <c r="Q434" s="110">
        <v>0</v>
      </c>
      <c r="R434" s="110">
        <v>0</v>
      </c>
    </row>
    <row r="435" spans="1:18" s="114" customFormat="1" ht="72">
      <c r="A435" s="99" t="s">
        <v>1149</v>
      </c>
      <c r="B435" s="100" t="s">
        <v>538</v>
      </c>
      <c r="C435" s="99"/>
      <c r="D435" s="99"/>
      <c r="E435" s="99"/>
      <c r="F435" s="99"/>
      <c r="G435" s="99"/>
      <c r="H435" s="99"/>
      <c r="I435" s="332" t="s">
        <v>1252</v>
      </c>
      <c r="J435" s="463" t="s">
        <v>68</v>
      </c>
      <c r="K435" s="496" t="s">
        <v>1251</v>
      </c>
      <c r="L435" s="100" t="s">
        <v>35</v>
      </c>
      <c r="M435" s="100" t="s">
        <v>36</v>
      </c>
      <c r="N435" s="110">
        <v>0</v>
      </c>
      <c r="O435" s="105">
        <v>0</v>
      </c>
      <c r="P435" s="110">
        <v>591.36199999999997</v>
      </c>
      <c r="Q435" s="110">
        <v>0</v>
      </c>
      <c r="R435" s="110">
        <v>0</v>
      </c>
    </row>
    <row r="436" spans="1:18" s="114" customFormat="1" ht="72">
      <c r="A436" s="99" t="s">
        <v>1150</v>
      </c>
      <c r="B436" s="100" t="s">
        <v>1151</v>
      </c>
      <c r="C436" s="99"/>
      <c r="D436" s="99"/>
      <c r="E436" s="99"/>
      <c r="F436" s="99"/>
      <c r="G436" s="99"/>
      <c r="H436" s="99"/>
      <c r="I436" s="332" t="s">
        <v>1250</v>
      </c>
      <c r="J436" s="463" t="s">
        <v>68</v>
      </c>
      <c r="K436" s="496" t="s">
        <v>1251</v>
      </c>
      <c r="L436" s="100" t="s">
        <v>35</v>
      </c>
      <c r="M436" s="100" t="s">
        <v>36</v>
      </c>
      <c r="N436" s="110">
        <v>0</v>
      </c>
      <c r="O436" s="105">
        <v>0</v>
      </c>
      <c r="P436" s="110">
        <v>1146.393</v>
      </c>
      <c r="Q436" s="110">
        <v>0</v>
      </c>
      <c r="R436" s="110">
        <v>0</v>
      </c>
    </row>
    <row r="437" spans="1:18" s="114" customFormat="1" ht="51" customHeight="1">
      <c r="A437" s="99" t="s">
        <v>1366</v>
      </c>
      <c r="B437" s="100" t="s">
        <v>477</v>
      </c>
      <c r="C437" s="100"/>
      <c r="D437" s="100"/>
      <c r="E437" s="100"/>
      <c r="F437" s="100"/>
      <c r="G437" s="100"/>
      <c r="H437" s="100"/>
      <c r="I437" s="332" t="s">
        <v>1377</v>
      </c>
      <c r="J437" s="463" t="s">
        <v>68</v>
      </c>
      <c r="K437" s="496" t="s">
        <v>1378</v>
      </c>
      <c r="L437" s="100" t="s">
        <v>35</v>
      </c>
      <c r="M437" s="100" t="s">
        <v>36</v>
      </c>
      <c r="N437" s="110">
        <v>0</v>
      </c>
      <c r="O437" s="105">
        <v>0</v>
      </c>
      <c r="P437" s="110">
        <v>4825</v>
      </c>
      <c r="Q437" s="110">
        <v>0</v>
      </c>
      <c r="R437" s="110">
        <v>0</v>
      </c>
    </row>
    <row r="438" spans="1:18" s="114" customFormat="1" ht="48">
      <c r="A438" s="99" t="s">
        <v>1367</v>
      </c>
      <c r="B438" s="100" t="s">
        <v>476</v>
      </c>
      <c r="C438" s="99"/>
      <c r="D438" s="99"/>
      <c r="E438" s="99"/>
      <c r="F438" s="99"/>
      <c r="G438" s="99"/>
      <c r="H438" s="99"/>
      <c r="I438" s="332" t="s">
        <v>1379</v>
      </c>
      <c r="J438" s="463" t="s">
        <v>68</v>
      </c>
      <c r="K438" s="496" t="s">
        <v>1380</v>
      </c>
      <c r="L438" s="100" t="s">
        <v>35</v>
      </c>
      <c r="M438" s="100" t="s">
        <v>36</v>
      </c>
      <c r="N438" s="110">
        <v>0</v>
      </c>
      <c r="O438" s="105">
        <v>0</v>
      </c>
      <c r="P438" s="110">
        <v>6000</v>
      </c>
      <c r="Q438" s="110">
        <v>0</v>
      </c>
      <c r="R438" s="110">
        <v>0</v>
      </c>
    </row>
    <row r="439" spans="1:18" s="114" customFormat="1" ht="60">
      <c r="A439" s="99" t="s">
        <v>1426</v>
      </c>
      <c r="B439" s="100" t="s">
        <v>1427</v>
      </c>
      <c r="C439" s="99"/>
      <c r="D439" s="99"/>
      <c r="E439" s="99"/>
      <c r="F439" s="99"/>
      <c r="G439" s="99"/>
      <c r="H439" s="99"/>
      <c r="I439" s="332" t="s">
        <v>1436</v>
      </c>
      <c r="J439" s="463" t="s">
        <v>68</v>
      </c>
      <c r="K439" s="496" t="s">
        <v>1437</v>
      </c>
      <c r="L439" s="100" t="s">
        <v>35</v>
      </c>
      <c r="M439" s="100" t="s">
        <v>36</v>
      </c>
      <c r="N439" s="110">
        <v>0</v>
      </c>
      <c r="O439" s="105">
        <v>0</v>
      </c>
      <c r="P439" s="110">
        <v>1542.8</v>
      </c>
      <c r="Q439" s="110">
        <v>0</v>
      </c>
      <c r="R439" s="110">
        <v>0</v>
      </c>
    </row>
    <row r="440" spans="1:18" s="115" customFormat="1" ht="24">
      <c r="A440" s="69" t="s">
        <v>672</v>
      </c>
      <c r="B440" s="104"/>
      <c r="C440" s="69"/>
      <c r="D440" s="69"/>
      <c r="E440" s="69"/>
      <c r="F440" s="69"/>
      <c r="G440" s="69"/>
      <c r="H440" s="69"/>
      <c r="I440" s="12"/>
      <c r="J440" s="12"/>
      <c r="K440" s="13"/>
      <c r="L440" s="104"/>
      <c r="M440" s="104"/>
      <c r="N440" s="69"/>
      <c r="O440" s="98"/>
      <c r="P440" s="69"/>
      <c r="Q440" s="69"/>
      <c r="R440" s="69"/>
    </row>
    <row r="441" spans="1:18" s="114" customFormat="1" ht="108">
      <c r="A441" s="45" t="s">
        <v>673</v>
      </c>
      <c r="B441" s="509" t="s">
        <v>853</v>
      </c>
      <c r="C441" s="45"/>
      <c r="D441" s="45"/>
      <c r="E441" s="45"/>
      <c r="F441" s="410" t="s">
        <v>1329</v>
      </c>
      <c r="G441" s="21" t="s">
        <v>1330</v>
      </c>
      <c r="H441" s="21" t="s">
        <v>1345</v>
      </c>
      <c r="I441" s="21" t="s">
        <v>1240</v>
      </c>
      <c r="J441" s="21" t="s">
        <v>68</v>
      </c>
      <c r="K441" s="21" t="s">
        <v>1241</v>
      </c>
      <c r="L441" s="509" t="s">
        <v>35</v>
      </c>
      <c r="M441" s="509" t="s">
        <v>36</v>
      </c>
      <c r="N441" s="117">
        <v>28493.599999999999</v>
      </c>
      <c r="O441" s="53">
        <v>24123.522000000001</v>
      </c>
      <c r="P441" s="117">
        <v>29199.7</v>
      </c>
      <c r="Q441" s="117">
        <v>0</v>
      </c>
      <c r="R441" s="117">
        <v>0</v>
      </c>
    </row>
    <row r="442" spans="1:18" s="114" customFormat="1" ht="72" customHeight="1">
      <c r="A442" s="99" t="s">
        <v>730</v>
      </c>
      <c r="B442" s="100" t="s">
        <v>974</v>
      </c>
      <c r="C442" s="99"/>
      <c r="D442" s="99"/>
      <c r="E442" s="99"/>
      <c r="F442" s="99"/>
      <c r="G442" s="99"/>
      <c r="H442" s="99"/>
      <c r="I442" s="463" t="s">
        <v>936</v>
      </c>
      <c r="J442" s="463" t="s">
        <v>68</v>
      </c>
      <c r="K442" s="496" t="s">
        <v>937</v>
      </c>
      <c r="L442" s="100" t="s">
        <v>35</v>
      </c>
      <c r="M442" s="100" t="s">
        <v>36</v>
      </c>
      <c r="N442" s="110">
        <v>20783.893</v>
      </c>
      <c r="O442" s="105">
        <v>20783.893</v>
      </c>
      <c r="P442" s="110">
        <v>0</v>
      </c>
      <c r="Q442" s="110">
        <v>0</v>
      </c>
      <c r="R442" s="110">
        <v>0</v>
      </c>
    </row>
    <row r="443" spans="1:18" s="114" customFormat="1" ht="132" customHeight="1">
      <c r="A443" s="99" t="s">
        <v>906</v>
      </c>
      <c r="B443" s="100" t="s">
        <v>507</v>
      </c>
      <c r="C443" s="99"/>
      <c r="D443" s="99"/>
      <c r="E443" s="99"/>
      <c r="F443" s="491" t="s">
        <v>1331</v>
      </c>
      <c r="G443" s="99" t="s">
        <v>1332</v>
      </c>
      <c r="H443" s="99" t="s">
        <v>1345</v>
      </c>
      <c r="I443" s="463" t="s">
        <v>1098</v>
      </c>
      <c r="J443" s="463" t="s">
        <v>68</v>
      </c>
      <c r="K443" s="496" t="s">
        <v>930</v>
      </c>
      <c r="L443" s="100" t="s">
        <v>35</v>
      </c>
      <c r="M443" s="100" t="s">
        <v>36</v>
      </c>
      <c r="N443" s="110">
        <v>3829.5</v>
      </c>
      <c r="O443" s="105">
        <v>3829.1309999999999</v>
      </c>
      <c r="P443" s="110">
        <v>0</v>
      </c>
      <c r="Q443" s="110">
        <v>0</v>
      </c>
      <c r="R443" s="110">
        <v>0</v>
      </c>
    </row>
    <row r="444" spans="1:18" s="114" customFormat="1" ht="36" hidden="1" customHeight="1">
      <c r="A444" s="99" t="s">
        <v>1167</v>
      </c>
      <c r="B444" s="100" t="s">
        <v>1168</v>
      </c>
      <c r="C444" s="99"/>
      <c r="D444" s="99"/>
      <c r="E444" s="99"/>
      <c r="F444" s="99"/>
      <c r="G444" s="99"/>
      <c r="H444" s="99"/>
      <c r="I444" s="463" t="s">
        <v>1270</v>
      </c>
      <c r="J444" s="463"/>
      <c r="K444" s="496"/>
      <c r="L444" s="100" t="s">
        <v>35</v>
      </c>
      <c r="M444" s="100" t="s">
        <v>36</v>
      </c>
      <c r="N444" s="110">
        <v>0</v>
      </c>
      <c r="O444" s="105">
        <v>0</v>
      </c>
      <c r="P444" s="110"/>
      <c r="Q444" s="110">
        <v>0</v>
      </c>
      <c r="R444" s="110">
        <v>0</v>
      </c>
    </row>
    <row r="445" spans="1:18" s="114" customFormat="1" ht="108" hidden="1">
      <c r="A445" s="99" t="s">
        <v>1169</v>
      </c>
      <c r="B445" s="100" t="s">
        <v>1170</v>
      </c>
      <c r="C445" s="99"/>
      <c r="D445" s="99"/>
      <c r="E445" s="99"/>
      <c r="F445" s="491" t="s">
        <v>1359</v>
      </c>
      <c r="G445" s="491" t="s">
        <v>1360</v>
      </c>
      <c r="H445" s="491" t="s">
        <v>1345</v>
      </c>
      <c r="I445" s="463" t="s">
        <v>1270</v>
      </c>
      <c r="J445" s="463"/>
      <c r="K445" s="496"/>
      <c r="L445" s="100" t="s">
        <v>35</v>
      </c>
      <c r="M445" s="100" t="s">
        <v>36</v>
      </c>
      <c r="N445" s="110">
        <v>0</v>
      </c>
      <c r="O445" s="105">
        <v>0</v>
      </c>
      <c r="P445" s="110"/>
      <c r="Q445" s="110">
        <v>0</v>
      </c>
      <c r="R445" s="110">
        <v>0</v>
      </c>
    </row>
    <row r="446" spans="1:18" s="114" customFormat="1" ht="83.25" hidden="1" customHeight="1">
      <c r="A446" s="99" t="s">
        <v>1171</v>
      </c>
      <c r="B446" s="100" t="s">
        <v>1172</v>
      </c>
      <c r="C446" s="99"/>
      <c r="D446" s="99"/>
      <c r="E446" s="99"/>
      <c r="F446" s="491" t="s">
        <v>1359</v>
      </c>
      <c r="G446" s="491" t="s">
        <v>1348</v>
      </c>
      <c r="H446" s="491" t="s">
        <v>1345</v>
      </c>
      <c r="I446" s="463" t="s">
        <v>1270</v>
      </c>
      <c r="J446" s="463"/>
      <c r="K446" s="496"/>
      <c r="L446" s="100" t="s">
        <v>35</v>
      </c>
      <c r="M446" s="100" t="s">
        <v>36</v>
      </c>
      <c r="N446" s="110">
        <v>0</v>
      </c>
      <c r="O446" s="105">
        <v>0</v>
      </c>
      <c r="P446" s="110"/>
      <c r="Q446" s="110">
        <v>0</v>
      </c>
      <c r="R446" s="110">
        <v>0</v>
      </c>
    </row>
    <row r="447" spans="1:18" s="115" customFormat="1" ht="181.5" customHeight="1">
      <c r="A447" s="55" t="s">
        <v>674</v>
      </c>
      <c r="B447" s="468">
        <v>2304</v>
      </c>
      <c r="C447" s="55" t="s">
        <v>31</v>
      </c>
      <c r="D447" s="55" t="s">
        <v>31</v>
      </c>
      <c r="E447" s="55" t="s">
        <v>31</v>
      </c>
      <c r="F447" s="55" t="s">
        <v>31</v>
      </c>
      <c r="G447" s="55" t="s">
        <v>31</v>
      </c>
      <c r="H447" s="55" t="s">
        <v>31</v>
      </c>
      <c r="I447" s="55" t="s">
        <v>31</v>
      </c>
      <c r="J447" s="55" t="s">
        <v>31</v>
      </c>
      <c r="K447" s="55" t="s">
        <v>31</v>
      </c>
      <c r="L447" s="473"/>
      <c r="M447" s="473"/>
      <c r="N447" s="56">
        <f>SUM(N448:N454)</f>
        <v>52666.077000000005</v>
      </c>
      <c r="O447" s="56">
        <f>SUM(O448:O454)</f>
        <v>52665.917000000001</v>
      </c>
      <c r="P447" s="56">
        <f>SUM(P448:P454)</f>
        <v>46801.377999999997</v>
      </c>
      <c r="Q447" s="56">
        <f t="shared" ref="Q447:R447" si="81">SUM(Q448:Q454)</f>
        <v>0</v>
      </c>
      <c r="R447" s="56">
        <f t="shared" si="81"/>
        <v>2957</v>
      </c>
    </row>
    <row r="448" spans="1:18" s="114" customFormat="1" ht="70.5" customHeight="1">
      <c r="A448" s="52" t="s">
        <v>1058</v>
      </c>
      <c r="B448" s="508" t="s">
        <v>1065</v>
      </c>
      <c r="C448" s="52"/>
      <c r="D448" s="52"/>
      <c r="E448" s="52"/>
      <c r="F448" s="52"/>
      <c r="G448" s="52"/>
      <c r="H448" s="95"/>
      <c r="I448" s="472" t="s">
        <v>1094</v>
      </c>
      <c r="J448" s="472" t="s">
        <v>68</v>
      </c>
      <c r="K448" s="472" t="s">
        <v>1095</v>
      </c>
      <c r="L448" s="76" t="s">
        <v>37</v>
      </c>
      <c r="M448" s="508" t="s">
        <v>38</v>
      </c>
      <c r="N448" s="20">
        <v>4426.3109999999997</v>
      </c>
      <c r="O448" s="20">
        <v>4426.3109999999997</v>
      </c>
      <c r="P448" s="20">
        <v>0</v>
      </c>
      <c r="Q448" s="20">
        <v>0</v>
      </c>
      <c r="R448" s="170">
        <v>0</v>
      </c>
    </row>
    <row r="449" spans="1:18" s="114" customFormat="1" ht="84">
      <c r="A449" s="52" t="s">
        <v>678</v>
      </c>
      <c r="B449" s="508" t="s">
        <v>317</v>
      </c>
      <c r="C449" s="52"/>
      <c r="D449" s="52"/>
      <c r="E449" s="52"/>
      <c r="F449" s="52"/>
      <c r="G449" s="52"/>
      <c r="H449" s="52"/>
      <c r="I449" s="412" t="s">
        <v>1120</v>
      </c>
      <c r="J449" s="461" t="s">
        <v>68</v>
      </c>
      <c r="K449" s="461" t="s">
        <v>1236</v>
      </c>
      <c r="L449" s="76" t="s">
        <v>37</v>
      </c>
      <c r="M449" s="508" t="s">
        <v>38</v>
      </c>
      <c r="N449" s="20">
        <v>5760</v>
      </c>
      <c r="O449" s="20">
        <v>5760</v>
      </c>
      <c r="P449" s="20">
        <v>2957</v>
      </c>
      <c r="Q449" s="20">
        <v>0</v>
      </c>
      <c r="R449" s="170">
        <v>2957</v>
      </c>
    </row>
    <row r="450" spans="1:18" s="114" customFormat="1" ht="84">
      <c r="A450" s="48"/>
      <c r="B450" s="72"/>
      <c r="C450" s="48"/>
      <c r="D450" s="48"/>
      <c r="E450" s="48"/>
      <c r="F450" s="45"/>
      <c r="G450" s="45"/>
      <c r="H450" s="45"/>
      <c r="I450" s="322" t="s">
        <v>1121</v>
      </c>
      <c r="J450" s="462" t="s">
        <v>68</v>
      </c>
      <c r="K450" s="462" t="s">
        <v>80</v>
      </c>
      <c r="L450" s="448"/>
      <c r="M450" s="448"/>
      <c r="N450" s="58"/>
      <c r="O450" s="58"/>
      <c r="P450" s="58"/>
      <c r="Q450" s="58"/>
      <c r="R450" s="173"/>
    </row>
    <row r="451" spans="1:18" s="114" customFormat="1" ht="81.75" customHeight="1">
      <c r="A451" s="589" t="s">
        <v>870</v>
      </c>
      <c r="B451" s="518" t="s">
        <v>539</v>
      </c>
      <c r="C451" s="46"/>
      <c r="D451" s="46"/>
      <c r="E451" s="46"/>
      <c r="F451" s="613" t="s">
        <v>1333</v>
      </c>
      <c r="G451" s="613" t="s">
        <v>1334</v>
      </c>
      <c r="H451" s="613" t="s">
        <v>1345</v>
      </c>
      <c r="I451" s="614" t="s">
        <v>1441</v>
      </c>
      <c r="J451" s="614" t="s">
        <v>68</v>
      </c>
      <c r="K451" s="614" t="s">
        <v>1442</v>
      </c>
      <c r="L451" s="76" t="s">
        <v>37</v>
      </c>
      <c r="M451" s="508" t="s">
        <v>38</v>
      </c>
      <c r="N451" s="20">
        <v>40222.767</v>
      </c>
      <c r="O451" s="20">
        <v>40222.767</v>
      </c>
      <c r="P451" s="20">
        <v>39500</v>
      </c>
      <c r="Q451" s="20">
        <v>0</v>
      </c>
      <c r="R451" s="20">
        <v>0</v>
      </c>
    </row>
    <row r="452" spans="1:18" s="114" customFormat="1" ht="62.25" customHeight="1">
      <c r="A452" s="590"/>
      <c r="B452" s="100" t="s">
        <v>482</v>
      </c>
      <c r="C452" s="501"/>
      <c r="D452" s="501"/>
      <c r="E452" s="501"/>
      <c r="F452" s="613"/>
      <c r="G452" s="613"/>
      <c r="H452" s="613"/>
      <c r="I452" s="544"/>
      <c r="J452" s="544"/>
      <c r="K452" s="544"/>
      <c r="L452" s="100" t="s">
        <v>37</v>
      </c>
      <c r="M452" s="100" t="s">
        <v>38</v>
      </c>
      <c r="N452" s="105">
        <v>0</v>
      </c>
      <c r="O452" s="105">
        <v>0</v>
      </c>
      <c r="P452" s="105">
        <v>4344.3779999999997</v>
      </c>
      <c r="Q452" s="105">
        <v>0</v>
      </c>
      <c r="R452" s="105">
        <v>0</v>
      </c>
    </row>
    <row r="453" spans="1:18" s="114" customFormat="1" ht="96">
      <c r="A453" s="479" t="s">
        <v>1266</v>
      </c>
      <c r="B453" s="100" t="s">
        <v>580</v>
      </c>
      <c r="C453" s="491"/>
      <c r="D453" s="491"/>
      <c r="E453" s="491"/>
      <c r="F453" s="491"/>
      <c r="G453" s="491"/>
      <c r="H453" s="491"/>
      <c r="I453" s="472" t="s">
        <v>1025</v>
      </c>
      <c r="J453" s="472" t="s">
        <v>68</v>
      </c>
      <c r="K453" s="472" t="s">
        <v>995</v>
      </c>
      <c r="L453" s="100" t="s">
        <v>37</v>
      </c>
      <c r="M453" s="100" t="s">
        <v>38</v>
      </c>
      <c r="N453" s="105">
        <v>1257</v>
      </c>
      <c r="O453" s="105">
        <v>1256.8399999999999</v>
      </c>
      <c r="P453" s="105">
        <v>0</v>
      </c>
      <c r="Q453" s="105">
        <v>0</v>
      </c>
      <c r="R453" s="105">
        <v>0</v>
      </c>
    </row>
    <row r="454" spans="1:18" s="114" customFormat="1" ht="227.25" customHeight="1">
      <c r="A454" s="479" t="s">
        <v>1267</v>
      </c>
      <c r="B454" s="100" t="s">
        <v>946</v>
      </c>
      <c r="C454" s="491"/>
      <c r="D454" s="491"/>
      <c r="E454" s="491"/>
      <c r="F454" s="491" t="s">
        <v>1335</v>
      </c>
      <c r="G454" s="491" t="s">
        <v>68</v>
      </c>
      <c r="H454" s="491" t="s">
        <v>1336</v>
      </c>
      <c r="I454" s="472" t="s">
        <v>1007</v>
      </c>
      <c r="J454" s="472" t="s">
        <v>68</v>
      </c>
      <c r="K454" s="472" t="s">
        <v>965</v>
      </c>
      <c r="L454" s="100" t="s">
        <v>37</v>
      </c>
      <c r="M454" s="100" t="s">
        <v>38</v>
      </c>
      <c r="N454" s="105">
        <v>999.99900000000002</v>
      </c>
      <c r="O454" s="105">
        <v>999.99900000000002</v>
      </c>
      <c r="P454" s="105">
        <v>0</v>
      </c>
      <c r="Q454" s="105">
        <v>0</v>
      </c>
      <c r="R454" s="105">
        <v>0</v>
      </c>
    </row>
    <row r="455" spans="1:18" s="115" customFormat="1" ht="120" customHeight="1">
      <c r="A455" s="103" t="s">
        <v>675</v>
      </c>
      <c r="B455" s="334" t="s">
        <v>676</v>
      </c>
      <c r="C455" s="55"/>
      <c r="D455" s="55"/>
      <c r="E455" s="55"/>
      <c r="F455" s="55"/>
      <c r="G455" s="55"/>
      <c r="H455" s="50"/>
      <c r="I455" s="32"/>
      <c r="J455" s="32"/>
      <c r="K455" s="32"/>
      <c r="L455" s="60"/>
      <c r="M455" s="468"/>
      <c r="N455" s="56">
        <f>SUM(N456:N457)</f>
        <v>298.64400000000001</v>
      </c>
      <c r="O455" s="56">
        <f>SUM(O456:O457)</f>
        <v>298.64400000000001</v>
      </c>
      <c r="P455" s="56">
        <f>SUM(P456:P457)</f>
        <v>0</v>
      </c>
      <c r="Q455" s="56">
        <f t="shared" ref="Q455:R455" si="82">SUM(Q456:Q457)</f>
        <v>128</v>
      </c>
      <c r="R455" s="56">
        <f t="shared" si="82"/>
        <v>128</v>
      </c>
    </row>
    <row r="456" spans="1:18" s="114" customFormat="1" ht="60">
      <c r="A456" s="99" t="s">
        <v>731</v>
      </c>
      <c r="B456" s="100" t="s">
        <v>496</v>
      </c>
      <c r="C456" s="99"/>
      <c r="D456" s="99"/>
      <c r="E456" s="99"/>
      <c r="F456" s="99"/>
      <c r="G456" s="99"/>
      <c r="H456" s="99"/>
      <c r="I456" s="497" t="s">
        <v>1071</v>
      </c>
      <c r="J456" s="101" t="s">
        <v>68</v>
      </c>
      <c r="K456" s="101" t="s">
        <v>1026</v>
      </c>
      <c r="L456" s="100" t="s">
        <v>35</v>
      </c>
      <c r="M456" s="100" t="s">
        <v>32</v>
      </c>
      <c r="N456" s="105">
        <v>298.64400000000001</v>
      </c>
      <c r="O456" s="105">
        <v>298.64400000000001</v>
      </c>
      <c r="P456" s="105">
        <v>0</v>
      </c>
      <c r="Q456" s="105">
        <v>0</v>
      </c>
      <c r="R456" s="105">
        <v>0</v>
      </c>
    </row>
    <row r="457" spans="1:18" s="114" customFormat="1" ht="106.5" customHeight="1">
      <c r="A457" s="54" t="s">
        <v>1268</v>
      </c>
      <c r="B457" s="519" t="s">
        <v>540</v>
      </c>
      <c r="C457" s="54"/>
      <c r="D457" s="54"/>
      <c r="E457" s="54"/>
      <c r="F457" s="464" t="s">
        <v>1337</v>
      </c>
      <c r="G457" s="464" t="s">
        <v>1338</v>
      </c>
      <c r="H457" s="464" t="s">
        <v>1351</v>
      </c>
      <c r="I457" s="529" t="s">
        <v>1473</v>
      </c>
      <c r="J457" s="99"/>
      <c r="K457" s="99"/>
      <c r="L457" s="57" t="s">
        <v>35</v>
      </c>
      <c r="M457" s="459" t="s">
        <v>32</v>
      </c>
      <c r="N457" s="53">
        <v>0</v>
      </c>
      <c r="O457" s="53">
        <v>0</v>
      </c>
      <c r="P457" s="53">
        <v>0</v>
      </c>
      <c r="Q457" s="53">
        <v>128</v>
      </c>
      <c r="R457" s="171">
        <v>128</v>
      </c>
    </row>
    <row r="458" spans="1:18" s="114" customFormat="1" ht="15.75" customHeight="1">
      <c r="A458" s="587" t="s">
        <v>1072</v>
      </c>
      <c r="B458" s="102" t="s">
        <v>677</v>
      </c>
      <c r="C458" s="96"/>
      <c r="D458" s="96"/>
      <c r="E458" s="96"/>
      <c r="F458" s="96"/>
      <c r="G458" s="96"/>
      <c r="H458" s="96"/>
      <c r="I458" s="491"/>
      <c r="J458" s="491"/>
      <c r="K458" s="491"/>
      <c r="L458" s="102" t="s">
        <v>37</v>
      </c>
      <c r="M458" s="102" t="s">
        <v>40</v>
      </c>
      <c r="N458" s="97">
        <f>SUM(N459:N460)</f>
        <v>18666.667000000001</v>
      </c>
      <c r="O458" s="97">
        <f t="shared" ref="O458:R458" si="83">SUM(O459:O460)</f>
        <v>18666.667000000001</v>
      </c>
      <c r="P458" s="97">
        <f t="shared" si="83"/>
        <v>0</v>
      </c>
      <c r="Q458" s="97">
        <f t="shared" si="83"/>
        <v>0</v>
      </c>
      <c r="R458" s="97">
        <f t="shared" si="83"/>
        <v>0</v>
      </c>
    </row>
    <row r="459" spans="1:18" s="114" customFormat="1" ht="60">
      <c r="A459" s="588"/>
      <c r="B459" s="100" t="s">
        <v>952</v>
      </c>
      <c r="C459" s="69"/>
      <c r="D459" s="69"/>
      <c r="E459" s="69"/>
      <c r="F459" s="69"/>
      <c r="G459" s="69"/>
      <c r="H459" s="69"/>
      <c r="I459" s="491" t="s">
        <v>958</v>
      </c>
      <c r="J459" s="491" t="s">
        <v>68</v>
      </c>
      <c r="K459" s="491" t="s">
        <v>959</v>
      </c>
      <c r="L459" s="104"/>
      <c r="M459" s="104"/>
      <c r="N459" s="105">
        <v>4666.6670000000004</v>
      </c>
      <c r="O459" s="105">
        <v>4666.6670000000004</v>
      </c>
      <c r="P459" s="105">
        <v>0</v>
      </c>
      <c r="Q459" s="105">
        <v>0</v>
      </c>
      <c r="R459" s="105">
        <v>0</v>
      </c>
    </row>
    <row r="460" spans="1:18" s="114" customFormat="1" ht="97.5" customHeight="1">
      <c r="A460" s="337"/>
      <c r="B460" s="338" t="s">
        <v>594</v>
      </c>
      <c r="C460" s="277"/>
      <c r="D460" s="277"/>
      <c r="E460" s="277"/>
      <c r="F460" s="285" t="s">
        <v>1333</v>
      </c>
      <c r="G460" s="285" t="s">
        <v>1339</v>
      </c>
      <c r="H460" s="285" t="s">
        <v>1351</v>
      </c>
      <c r="I460" s="345" t="s">
        <v>971</v>
      </c>
      <c r="J460" s="346" t="s">
        <v>68</v>
      </c>
      <c r="K460" s="346" t="s">
        <v>972</v>
      </c>
      <c r="L460" s="285"/>
      <c r="M460" s="285"/>
      <c r="N460" s="339">
        <v>14000</v>
      </c>
      <c r="O460" s="339">
        <v>14000</v>
      </c>
      <c r="P460" s="339">
        <v>0</v>
      </c>
      <c r="Q460" s="339">
        <v>0</v>
      </c>
      <c r="R460" s="538">
        <v>0</v>
      </c>
    </row>
    <row r="461" spans="1:18" s="114" customFormat="1" ht="60" hidden="1">
      <c r="A461" s="69" t="s">
        <v>679</v>
      </c>
      <c r="B461" s="104" t="s">
        <v>680</v>
      </c>
      <c r="C461" s="69"/>
      <c r="D461" s="69"/>
      <c r="E461" s="69"/>
      <c r="F461" s="69"/>
      <c r="G461" s="69"/>
      <c r="H461" s="69"/>
      <c r="I461" s="491"/>
      <c r="J461" s="491"/>
      <c r="K461" s="491"/>
      <c r="L461" s="104"/>
      <c r="M461" s="104"/>
      <c r="N461" s="98">
        <f>SUM(N462:N463)</f>
        <v>0</v>
      </c>
      <c r="O461" s="98">
        <f>SUM(O462:O463)</f>
        <v>0</v>
      </c>
      <c r="P461" s="98">
        <f>SUM(P462:P463)</f>
        <v>0</v>
      </c>
      <c r="Q461" s="98">
        <f>SUM(Q462:Q463)</f>
        <v>0</v>
      </c>
      <c r="R461" s="98">
        <f>SUM(R462:R463)</f>
        <v>0</v>
      </c>
    </row>
    <row r="462" spans="1:18" s="114" customFormat="1" ht="60" hidden="1">
      <c r="A462" s="99" t="s">
        <v>681</v>
      </c>
      <c r="B462" s="100" t="s">
        <v>487</v>
      </c>
      <c r="C462" s="99"/>
      <c r="D462" s="99"/>
      <c r="E462" s="99"/>
      <c r="F462" s="99"/>
      <c r="G462" s="99"/>
      <c r="H462" s="99"/>
      <c r="I462" s="491" t="s">
        <v>570</v>
      </c>
      <c r="J462" s="491" t="s">
        <v>68</v>
      </c>
      <c r="K462" s="491" t="s">
        <v>571</v>
      </c>
      <c r="L462" s="100" t="s">
        <v>32</v>
      </c>
      <c r="M462" s="100" t="s">
        <v>26</v>
      </c>
      <c r="N462" s="105">
        <v>0</v>
      </c>
      <c r="O462" s="105">
        <v>0</v>
      </c>
      <c r="P462" s="105">
        <v>0</v>
      </c>
      <c r="Q462" s="105">
        <v>0</v>
      </c>
      <c r="R462" s="105">
        <v>0</v>
      </c>
    </row>
    <row r="463" spans="1:18" s="114" customFormat="1" ht="84" hidden="1">
      <c r="A463" s="99" t="s">
        <v>832</v>
      </c>
      <c r="B463" s="100" t="s">
        <v>584</v>
      </c>
      <c r="C463" s="99"/>
      <c r="D463" s="99"/>
      <c r="E463" s="99"/>
      <c r="F463" s="99"/>
      <c r="G463" s="99"/>
      <c r="H463" s="99"/>
      <c r="I463" s="472" t="s">
        <v>804</v>
      </c>
      <c r="J463" s="472" t="s">
        <v>68</v>
      </c>
      <c r="K463" s="472" t="s">
        <v>591</v>
      </c>
      <c r="L463" s="100" t="s">
        <v>32</v>
      </c>
      <c r="M463" s="100" t="s">
        <v>26</v>
      </c>
      <c r="N463" s="105">
        <v>0</v>
      </c>
      <c r="O463" s="105">
        <v>0</v>
      </c>
      <c r="P463" s="105">
        <v>0</v>
      </c>
      <c r="Q463" s="105">
        <v>0</v>
      </c>
      <c r="R463" s="105">
        <v>0</v>
      </c>
    </row>
    <row r="464" spans="1:18" s="115" customFormat="1" ht="49.5" hidden="1" customHeight="1">
      <c r="A464" s="55" t="s">
        <v>682</v>
      </c>
      <c r="B464" s="468">
        <v>2313</v>
      </c>
      <c r="C464" s="55" t="s">
        <v>31</v>
      </c>
      <c r="D464" s="55" t="s">
        <v>31</v>
      </c>
      <c r="E464" s="55" t="s">
        <v>31</v>
      </c>
      <c r="F464" s="55" t="s">
        <v>31</v>
      </c>
      <c r="G464" s="55" t="s">
        <v>31</v>
      </c>
      <c r="H464" s="55" t="s">
        <v>31</v>
      </c>
      <c r="I464" s="55" t="s">
        <v>31</v>
      </c>
      <c r="J464" s="55" t="s">
        <v>31</v>
      </c>
      <c r="K464" s="55" t="s">
        <v>31</v>
      </c>
      <c r="L464" s="468" t="s">
        <v>41</v>
      </c>
      <c r="M464" s="468" t="s">
        <v>38</v>
      </c>
      <c r="N464" s="56">
        <f>SUM(N465:N466)</f>
        <v>0</v>
      </c>
      <c r="O464" s="56">
        <f>SUM(O465:O466)</f>
        <v>0</v>
      </c>
      <c r="P464" s="56">
        <f>SUM(P465:P466)</f>
        <v>0</v>
      </c>
      <c r="Q464" s="56">
        <f>SUM(Q465:Q466)</f>
        <v>0</v>
      </c>
      <c r="R464" s="56">
        <f>SUM(R465:R466)</f>
        <v>0</v>
      </c>
    </row>
    <row r="465" spans="1:19" s="114" customFormat="1" ht="60" hidden="1">
      <c r="A465" s="191" t="s">
        <v>732</v>
      </c>
      <c r="B465" s="192" t="s">
        <v>488</v>
      </c>
      <c r="C465" s="191"/>
      <c r="D465" s="191"/>
      <c r="E465" s="191"/>
      <c r="F465" s="199"/>
      <c r="G465" s="199"/>
      <c r="H465" s="199"/>
      <c r="I465" s="323" t="s">
        <v>577</v>
      </c>
      <c r="J465" s="323" t="s">
        <v>68</v>
      </c>
      <c r="K465" s="323" t="s">
        <v>578</v>
      </c>
      <c r="L465" s="192" t="s">
        <v>41</v>
      </c>
      <c r="M465" s="192" t="s">
        <v>38</v>
      </c>
      <c r="N465" s="271">
        <v>0</v>
      </c>
      <c r="O465" s="271">
        <v>0</v>
      </c>
      <c r="P465" s="271">
        <v>0</v>
      </c>
      <c r="Q465" s="271">
        <v>0</v>
      </c>
      <c r="R465" s="272">
        <v>0</v>
      </c>
    </row>
    <row r="466" spans="1:19" s="114" customFormat="1" ht="72" hidden="1">
      <c r="A466" s="99" t="s">
        <v>733</v>
      </c>
      <c r="B466" s="100" t="s">
        <v>512</v>
      </c>
      <c r="C466" s="99"/>
      <c r="D466" s="99"/>
      <c r="E466" s="99"/>
      <c r="F466" s="200"/>
      <c r="G466" s="200"/>
      <c r="H466" s="200"/>
      <c r="I466" s="463" t="s">
        <v>596</v>
      </c>
      <c r="J466" s="463" t="s">
        <v>68</v>
      </c>
      <c r="K466" s="463" t="s">
        <v>597</v>
      </c>
      <c r="L466" s="100" t="s">
        <v>41</v>
      </c>
      <c r="M466" s="100" t="s">
        <v>38</v>
      </c>
      <c r="N466" s="105">
        <v>0</v>
      </c>
      <c r="O466" s="105">
        <v>0</v>
      </c>
      <c r="P466" s="105">
        <v>0</v>
      </c>
      <c r="Q466" s="105">
        <v>0</v>
      </c>
      <c r="R466" s="105">
        <v>0</v>
      </c>
    </row>
    <row r="467" spans="1:19" s="115" customFormat="1" ht="72">
      <c r="A467" s="93" t="s">
        <v>683</v>
      </c>
      <c r="B467" s="473" t="s">
        <v>1369</v>
      </c>
      <c r="C467" s="93" t="s">
        <v>31</v>
      </c>
      <c r="D467" s="93" t="s">
        <v>31</v>
      </c>
      <c r="E467" s="93" t="s">
        <v>31</v>
      </c>
      <c r="F467" s="93" t="s">
        <v>31</v>
      </c>
      <c r="G467" s="93" t="s">
        <v>31</v>
      </c>
      <c r="H467" s="93" t="s">
        <v>31</v>
      </c>
      <c r="I467" s="448" t="s">
        <v>1372</v>
      </c>
      <c r="J467" s="48" t="s">
        <v>68</v>
      </c>
      <c r="K467" s="448" t="s">
        <v>1373</v>
      </c>
      <c r="L467" s="458" t="s">
        <v>41</v>
      </c>
      <c r="M467" s="458" t="s">
        <v>23</v>
      </c>
      <c r="N467" s="137">
        <f>SUM(N468:N468)</f>
        <v>0</v>
      </c>
      <c r="O467" s="137">
        <f>SUM(O468:O468)</f>
        <v>0</v>
      </c>
      <c r="P467" s="137">
        <v>150</v>
      </c>
      <c r="Q467" s="137">
        <f>SUM(Q468:Q468)</f>
        <v>0</v>
      </c>
      <c r="R467" s="137">
        <f>SUM(R468:R468)</f>
        <v>0</v>
      </c>
    </row>
    <row r="468" spans="1:19" s="114" customFormat="1" ht="12" hidden="1">
      <c r="A468" s="481"/>
      <c r="B468" s="74"/>
      <c r="C468" s="106"/>
      <c r="D468" s="106"/>
      <c r="E468" s="106"/>
      <c r="F468" s="106"/>
      <c r="G468" s="106"/>
      <c r="H468" s="106"/>
      <c r="I468" s="441"/>
      <c r="J468" s="441"/>
      <c r="K468" s="505"/>
      <c r="L468" s="74"/>
      <c r="M468" s="74"/>
      <c r="N468" s="107"/>
      <c r="O468" s="107"/>
      <c r="P468" s="107"/>
      <c r="Q468" s="107"/>
      <c r="R468" s="107"/>
    </row>
    <row r="469" spans="1:19" s="115" customFormat="1" ht="48" customHeight="1">
      <c r="A469" s="96" t="s">
        <v>684</v>
      </c>
      <c r="B469" s="484">
        <v>2315</v>
      </c>
      <c r="C469" s="96"/>
      <c r="D469" s="96"/>
      <c r="E469" s="96"/>
      <c r="F469" s="96"/>
      <c r="G469" s="96"/>
      <c r="H469" s="96"/>
      <c r="I469" s="526"/>
      <c r="J469" s="526"/>
      <c r="K469" s="526"/>
      <c r="L469" s="102"/>
      <c r="M469" s="102"/>
      <c r="N469" s="97">
        <f>SUM(N470:N478)</f>
        <v>37765.525999999998</v>
      </c>
      <c r="O469" s="97">
        <f t="shared" ref="O469" si="84">SUM(O470:O478)</f>
        <v>37709.495999999999</v>
      </c>
      <c r="P469" s="97">
        <f>SUM(P470:P479)</f>
        <v>7868.2329</v>
      </c>
      <c r="Q469" s="97">
        <f t="shared" ref="Q469:R469" si="85">SUM(Q470:Q479)</f>
        <v>0</v>
      </c>
      <c r="R469" s="97">
        <f t="shared" si="85"/>
        <v>0</v>
      </c>
    </row>
    <row r="470" spans="1:19" s="114" customFormat="1" ht="96" customHeight="1">
      <c r="A470" s="99" t="s">
        <v>1356</v>
      </c>
      <c r="B470" s="100" t="s">
        <v>1355</v>
      </c>
      <c r="C470" s="99"/>
      <c r="D470" s="99"/>
      <c r="E470" s="99"/>
      <c r="F470" s="420" t="s">
        <v>1357</v>
      </c>
      <c r="G470" s="491" t="s">
        <v>1358</v>
      </c>
      <c r="H470" s="491" t="s">
        <v>1345</v>
      </c>
      <c r="I470" s="24" t="s">
        <v>931</v>
      </c>
      <c r="J470" s="24" t="s">
        <v>68</v>
      </c>
      <c r="K470" s="24" t="s">
        <v>930</v>
      </c>
      <c r="L470" s="100" t="s">
        <v>37</v>
      </c>
      <c r="M470" s="100" t="s">
        <v>23</v>
      </c>
      <c r="N470" s="105">
        <v>1500</v>
      </c>
      <c r="O470" s="105">
        <v>1464.84</v>
      </c>
      <c r="P470" s="105">
        <v>0</v>
      </c>
      <c r="Q470" s="105">
        <v>0</v>
      </c>
      <c r="R470" s="105">
        <v>0</v>
      </c>
    </row>
    <row r="471" spans="1:19" s="114" customFormat="1" ht="48">
      <c r="A471" s="561" t="s">
        <v>908</v>
      </c>
      <c r="B471" s="100" t="s">
        <v>896</v>
      </c>
      <c r="C471" s="625"/>
      <c r="D471" s="625"/>
      <c r="E471" s="625"/>
      <c r="F471" s="624"/>
      <c r="G471" s="624"/>
      <c r="H471" s="624"/>
      <c r="I471" s="442" t="s">
        <v>1022</v>
      </c>
      <c r="J471" s="358" t="s">
        <v>68</v>
      </c>
      <c r="K471" s="358" t="s">
        <v>1021</v>
      </c>
      <c r="L471" s="100" t="s">
        <v>37</v>
      </c>
      <c r="M471" s="100" t="s">
        <v>35</v>
      </c>
      <c r="N471" s="347">
        <v>802.68100000000004</v>
      </c>
      <c r="O471" s="347">
        <v>802.68100000000004</v>
      </c>
      <c r="P471" s="347">
        <v>0</v>
      </c>
      <c r="Q471" s="347">
        <v>0</v>
      </c>
      <c r="R471" s="347">
        <v>0</v>
      </c>
      <c r="S471" s="351"/>
    </row>
    <row r="472" spans="1:19" s="114" customFormat="1" ht="24.75" customHeight="1">
      <c r="A472" s="561"/>
      <c r="B472" s="100" t="s">
        <v>898</v>
      </c>
      <c r="C472" s="626"/>
      <c r="D472" s="626"/>
      <c r="E472" s="626"/>
      <c r="F472" s="540"/>
      <c r="G472" s="540"/>
      <c r="H472" s="540"/>
      <c r="I472" s="551" t="s">
        <v>1020</v>
      </c>
      <c r="J472" s="551" t="s">
        <v>68</v>
      </c>
      <c r="K472" s="551" t="s">
        <v>1021</v>
      </c>
      <c r="L472" s="100" t="s">
        <v>37</v>
      </c>
      <c r="M472" s="100" t="s">
        <v>35</v>
      </c>
      <c r="N472" s="347">
        <v>404.47500000000002</v>
      </c>
      <c r="O472" s="347">
        <v>404.47500000000002</v>
      </c>
      <c r="P472" s="347">
        <v>0</v>
      </c>
      <c r="Q472" s="347">
        <v>0</v>
      </c>
      <c r="R472" s="347">
        <v>0</v>
      </c>
    </row>
    <row r="473" spans="1:19" s="114" customFormat="1" ht="24.75" customHeight="1">
      <c r="A473" s="561"/>
      <c r="B473" s="100" t="s">
        <v>899</v>
      </c>
      <c r="C473" s="626"/>
      <c r="D473" s="626"/>
      <c r="E473" s="626"/>
      <c r="F473" s="540"/>
      <c r="G473" s="540"/>
      <c r="H473" s="540"/>
      <c r="I473" s="551"/>
      <c r="J473" s="551"/>
      <c r="K473" s="551"/>
      <c r="L473" s="100" t="s">
        <v>37</v>
      </c>
      <c r="M473" s="100" t="s">
        <v>35</v>
      </c>
      <c r="N473" s="347">
        <v>82.843999999999994</v>
      </c>
      <c r="O473" s="347">
        <v>82.843999999999994</v>
      </c>
      <c r="P473" s="347">
        <v>0</v>
      </c>
      <c r="Q473" s="347">
        <v>0</v>
      </c>
      <c r="R473" s="347">
        <v>0</v>
      </c>
    </row>
    <row r="474" spans="1:19" s="114" customFormat="1" ht="60">
      <c r="A474" s="561"/>
      <c r="B474" s="100" t="s">
        <v>503</v>
      </c>
      <c r="C474" s="627"/>
      <c r="D474" s="627"/>
      <c r="E474" s="627"/>
      <c r="F474" s="628"/>
      <c r="G474" s="628"/>
      <c r="H474" s="628"/>
      <c r="I474" s="443" t="s">
        <v>1005</v>
      </c>
      <c r="J474" s="354" t="s">
        <v>68</v>
      </c>
      <c r="K474" s="354" t="s">
        <v>995</v>
      </c>
      <c r="L474" s="100" t="s">
        <v>37</v>
      </c>
      <c r="M474" s="100" t="s">
        <v>35</v>
      </c>
      <c r="N474" s="347">
        <v>430</v>
      </c>
      <c r="O474" s="347">
        <v>430</v>
      </c>
      <c r="P474" s="347">
        <v>0</v>
      </c>
      <c r="Q474" s="347">
        <v>0</v>
      </c>
      <c r="R474" s="347">
        <v>0</v>
      </c>
    </row>
    <row r="475" spans="1:19" s="114" customFormat="1" ht="24.75" customHeight="1">
      <c r="A475" s="609" t="s">
        <v>1352</v>
      </c>
      <c r="B475" s="100" t="s">
        <v>897</v>
      </c>
      <c r="C475" s="625"/>
      <c r="D475" s="625"/>
      <c r="E475" s="625"/>
      <c r="F475" s="624" t="s">
        <v>1353</v>
      </c>
      <c r="G475" s="624" t="s">
        <v>1354</v>
      </c>
      <c r="H475" s="624" t="s">
        <v>1345</v>
      </c>
      <c r="I475" s="543" t="s">
        <v>1088</v>
      </c>
      <c r="J475" s="543" t="s">
        <v>68</v>
      </c>
      <c r="K475" s="543" t="s">
        <v>968</v>
      </c>
      <c r="L475" s="100" t="s">
        <v>37</v>
      </c>
      <c r="M475" s="100" t="s">
        <v>35</v>
      </c>
      <c r="N475" s="347">
        <v>1743.46</v>
      </c>
      <c r="O475" s="347">
        <v>1726.62</v>
      </c>
      <c r="P475" s="347">
        <v>0</v>
      </c>
      <c r="Q475" s="347">
        <v>0</v>
      </c>
      <c r="R475" s="347">
        <v>0</v>
      </c>
    </row>
    <row r="476" spans="1:19" s="114" customFormat="1" ht="24.75" customHeight="1">
      <c r="A476" s="546"/>
      <c r="B476" s="100" t="s">
        <v>900</v>
      </c>
      <c r="C476" s="626"/>
      <c r="D476" s="626"/>
      <c r="E476" s="626"/>
      <c r="F476" s="540"/>
      <c r="G476" s="540"/>
      <c r="H476" s="540"/>
      <c r="I476" s="637"/>
      <c r="J476" s="637"/>
      <c r="K476" s="637"/>
      <c r="L476" s="100" t="s">
        <v>37</v>
      </c>
      <c r="M476" s="100" t="s">
        <v>35</v>
      </c>
      <c r="N476" s="347">
        <v>21689</v>
      </c>
      <c r="O476" s="347">
        <v>21689</v>
      </c>
      <c r="P476" s="347">
        <v>0</v>
      </c>
      <c r="Q476" s="347">
        <v>0</v>
      </c>
      <c r="R476" s="347">
        <v>0</v>
      </c>
    </row>
    <row r="477" spans="1:19" s="114" customFormat="1" ht="24.75" customHeight="1">
      <c r="A477" s="546"/>
      <c r="B477" s="100" t="s">
        <v>901</v>
      </c>
      <c r="C477" s="626"/>
      <c r="D477" s="626"/>
      <c r="E477" s="626"/>
      <c r="F477" s="540"/>
      <c r="G477" s="540"/>
      <c r="H477" s="540"/>
      <c r="I477" s="637"/>
      <c r="J477" s="637"/>
      <c r="K477" s="637"/>
      <c r="L477" s="100" t="s">
        <v>37</v>
      </c>
      <c r="M477" s="100" t="s">
        <v>35</v>
      </c>
      <c r="N477" s="347">
        <v>4442.3249999999998</v>
      </c>
      <c r="O477" s="347">
        <v>4442.3249999999998</v>
      </c>
      <c r="P477" s="347">
        <v>0</v>
      </c>
      <c r="Q477" s="347">
        <v>0</v>
      </c>
      <c r="R477" s="347">
        <v>0</v>
      </c>
    </row>
    <row r="478" spans="1:19" s="114" customFormat="1" ht="122.25" customHeight="1">
      <c r="A478" s="546"/>
      <c r="B478" s="100" t="s">
        <v>1368</v>
      </c>
      <c r="C478" s="626"/>
      <c r="D478" s="626"/>
      <c r="E478" s="626"/>
      <c r="F478" s="540"/>
      <c r="G478" s="540"/>
      <c r="H478" s="540"/>
      <c r="I478" s="487" t="s">
        <v>1467</v>
      </c>
      <c r="J478" s="487" t="s">
        <v>68</v>
      </c>
      <c r="K478" s="487" t="s">
        <v>929</v>
      </c>
      <c r="L478" s="100" t="s">
        <v>37</v>
      </c>
      <c r="M478" s="100" t="s">
        <v>35</v>
      </c>
      <c r="N478" s="105">
        <v>6670.741</v>
      </c>
      <c r="O478" s="105">
        <v>6666.7110000000002</v>
      </c>
      <c r="P478" s="105">
        <v>7868.2329</v>
      </c>
      <c r="Q478" s="105">
        <v>0</v>
      </c>
      <c r="R478" s="105">
        <v>0</v>
      </c>
    </row>
    <row r="479" spans="1:19" s="114" customFormat="1" ht="24.75" hidden="1" customHeight="1">
      <c r="A479" s="481"/>
      <c r="B479" s="100" t="s">
        <v>1164</v>
      </c>
      <c r="C479" s="500"/>
      <c r="D479" s="500"/>
      <c r="E479" s="500"/>
      <c r="F479" s="501"/>
      <c r="G479" s="501"/>
      <c r="H479" s="501"/>
      <c r="I479" s="413"/>
      <c r="J479" s="413"/>
      <c r="K479" s="413"/>
      <c r="L479" s="100" t="s">
        <v>37</v>
      </c>
      <c r="M479" s="100" t="s">
        <v>35</v>
      </c>
      <c r="N479" s="105">
        <v>0</v>
      </c>
      <c r="O479" s="105">
        <v>0</v>
      </c>
      <c r="P479" s="105">
        <v>0</v>
      </c>
      <c r="Q479" s="105">
        <v>0</v>
      </c>
      <c r="R479" s="105">
        <v>0</v>
      </c>
    </row>
    <row r="480" spans="1:19" s="115" customFormat="1" ht="15.75" customHeight="1">
      <c r="A480" s="587" t="s">
        <v>918</v>
      </c>
      <c r="B480" s="104" t="s">
        <v>911</v>
      </c>
      <c r="C480" s="69"/>
      <c r="D480" s="69"/>
      <c r="E480" s="69"/>
      <c r="F480" s="69"/>
      <c r="G480" s="69"/>
      <c r="H480" s="69"/>
      <c r="I480" s="24"/>
      <c r="J480" s="24"/>
      <c r="K480" s="24"/>
      <c r="L480" s="104" t="s">
        <v>40</v>
      </c>
      <c r="M480" s="104" t="s">
        <v>32</v>
      </c>
      <c r="N480" s="98">
        <f>SUM(N481:N482)</f>
        <v>12480</v>
      </c>
      <c r="O480" s="98">
        <f t="shared" ref="O480:R480" si="86">SUM(O481:O482)</f>
        <v>480</v>
      </c>
      <c r="P480" s="98">
        <f t="shared" si="86"/>
        <v>12450</v>
      </c>
      <c r="Q480" s="98">
        <f t="shared" si="86"/>
        <v>0</v>
      </c>
      <c r="R480" s="98">
        <f t="shared" si="86"/>
        <v>0</v>
      </c>
    </row>
    <row r="481" spans="1:18" s="115" customFormat="1" ht="72">
      <c r="A481" s="588"/>
      <c r="B481" s="100" t="s">
        <v>1370</v>
      </c>
      <c r="C481" s="69"/>
      <c r="D481" s="69"/>
      <c r="E481" s="69"/>
      <c r="F481" s="69"/>
      <c r="G481" s="69"/>
      <c r="H481" s="69"/>
      <c r="I481" s="24" t="s">
        <v>1374</v>
      </c>
      <c r="J481" s="24" t="s">
        <v>68</v>
      </c>
      <c r="K481" s="24" t="s">
        <v>1375</v>
      </c>
      <c r="L481" s="100" t="s">
        <v>40</v>
      </c>
      <c r="M481" s="100" t="s">
        <v>32</v>
      </c>
      <c r="N481" s="105">
        <v>480</v>
      </c>
      <c r="O481" s="105">
        <v>480</v>
      </c>
      <c r="P481" s="105">
        <v>450</v>
      </c>
      <c r="Q481" s="105">
        <v>0</v>
      </c>
      <c r="R481" s="105">
        <v>0</v>
      </c>
    </row>
    <row r="482" spans="1:18" s="115" customFormat="1" ht="48">
      <c r="A482" s="661"/>
      <c r="B482" s="100" t="s">
        <v>504</v>
      </c>
      <c r="C482" s="69"/>
      <c r="D482" s="69"/>
      <c r="E482" s="69"/>
      <c r="F482" s="69"/>
      <c r="G482" s="69"/>
      <c r="H482" s="69"/>
      <c r="I482" s="24" t="s">
        <v>1471</v>
      </c>
      <c r="J482" s="24" t="s">
        <v>68</v>
      </c>
      <c r="K482" s="24" t="s">
        <v>1243</v>
      </c>
      <c r="L482" s="100" t="s">
        <v>40</v>
      </c>
      <c r="M482" s="100" t="s">
        <v>32</v>
      </c>
      <c r="N482" s="105">
        <v>12000</v>
      </c>
      <c r="O482" s="105">
        <v>0</v>
      </c>
      <c r="P482" s="105">
        <v>12000</v>
      </c>
      <c r="Q482" s="105">
        <v>0</v>
      </c>
      <c r="R482" s="105">
        <v>0</v>
      </c>
    </row>
    <row r="483" spans="1:18" s="115" customFormat="1" ht="108.75" customHeight="1">
      <c r="A483" s="348" t="s">
        <v>981</v>
      </c>
      <c r="B483" s="104" t="s">
        <v>982</v>
      </c>
      <c r="C483" s="69"/>
      <c r="D483" s="69"/>
      <c r="E483" s="69"/>
      <c r="F483" s="69"/>
      <c r="G483" s="69"/>
      <c r="H483" s="69"/>
      <c r="I483" s="24" t="s">
        <v>992</v>
      </c>
      <c r="J483" s="24" t="s">
        <v>68</v>
      </c>
      <c r="K483" s="24" t="s">
        <v>1073</v>
      </c>
      <c r="L483" s="104" t="s">
        <v>40</v>
      </c>
      <c r="M483" s="104" t="s">
        <v>32</v>
      </c>
      <c r="N483" s="98">
        <v>2800</v>
      </c>
      <c r="O483" s="98">
        <v>2800</v>
      </c>
      <c r="P483" s="98">
        <v>0</v>
      </c>
      <c r="Q483" s="98">
        <v>0</v>
      </c>
      <c r="R483" s="98">
        <v>0</v>
      </c>
    </row>
    <row r="484" spans="1:18" s="115" customFormat="1" ht="49.5" customHeight="1">
      <c r="A484" s="69" t="s">
        <v>685</v>
      </c>
      <c r="B484" s="493">
        <v>2320</v>
      </c>
      <c r="C484" s="69"/>
      <c r="D484" s="69"/>
      <c r="E484" s="69"/>
      <c r="F484" s="69"/>
      <c r="G484" s="69"/>
      <c r="H484" s="69"/>
      <c r="I484" s="24"/>
      <c r="J484" s="24"/>
      <c r="K484" s="24"/>
      <c r="L484" s="104"/>
      <c r="M484" s="104"/>
      <c r="N484" s="98">
        <f>SUM(N485:N485)</f>
        <v>6063.5</v>
      </c>
      <c r="O484" s="98">
        <f>SUM(O485:O485)</f>
        <v>6063.5</v>
      </c>
      <c r="P484" s="98">
        <f>SUM(P485:P485)</f>
        <v>7210.6</v>
      </c>
      <c r="Q484" s="98">
        <f>SUM(Q485:Q485)</f>
        <v>0</v>
      </c>
      <c r="R484" s="98">
        <f>SUM(R485:R485)</f>
        <v>0</v>
      </c>
    </row>
    <row r="485" spans="1:18" s="114" customFormat="1" ht="119.25" customHeight="1">
      <c r="A485" s="48" t="s">
        <v>833</v>
      </c>
      <c r="B485" s="72" t="s">
        <v>456</v>
      </c>
      <c r="C485" s="448" t="s">
        <v>535</v>
      </c>
      <c r="D485" s="448" t="s">
        <v>536</v>
      </c>
      <c r="E485" s="448" t="s">
        <v>57</v>
      </c>
      <c r="F485" s="491" t="s">
        <v>1340</v>
      </c>
      <c r="G485" s="21" t="s">
        <v>1341</v>
      </c>
      <c r="H485" s="21" t="s">
        <v>132</v>
      </c>
      <c r="I485" s="490" t="s">
        <v>1246</v>
      </c>
      <c r="J485" s="490" t="s">
        <v>68</v>
      </c>
      <c r="K485" s="414" t="s">
        <v>1247</v>
      </c>
      <c r="L485" s="448" t="s">
        <v>24</v>
      </c>
      <c r="M485" s="448" t="s">
        <v>32</v>
      </c>
      <c r="N485" s="235">
        <v>6063.5</v>
      </c>
      <c r="O485" s="235">
        <v>6063.5</v>
      </c>
      <c r="P485" s="235">
        <v>7210.6</v>
      </c>
      <c r="Q485" s="235"/>
      <c r="R485" s="273"/>
    </row>
    <row r="486" spans="1:18" s="115" customFormat="1" ht="60">
      <c r="A486" s="93" t="s">
        <v>686</v>
      </c>
      <c r="B486" s="458" t="s">
        <v>687</v>
      </c>
      <c r="C486" s="93"/>
      <c r="D486" s="93"/>
      <c r="E486" s="93"/>
      <c r="F486" s="93"/>
      <c r="G486" s="93"/>
      <c r="H486" s="93"/>
      <c r="I486" s="93"/>
      <c r="J486" s="93"/>
      <c r="K486" s="93"/>
      <c r="L486" s="473"/>
      <c r="M486" s="473"/>
      <c r="N486" s="94">
        <f>SUM(N488:N489)</f>
        <v>1649.26</v>
      </c>
      <c r="O486" s="94">
        <f>SUM(O488:O489)</f>
        <v>1649.26</v>
      </c>
      <c r="P486" s="94">
        <f>SUM(P488:P489)</f>
        <v>98.2</v>
      </c>
      <c r="Q486" s="94">
        <f t="shared" ref="Q486:R486" si="87">SUM(Q488:Q489)</f>
        <v>0</v>
      </c>
      <c r="R486" s="94">
        <f t="shared" si="87"/>
        <v>0</v>
      </c>
    </row>
    <row r="487" spans="1:18" s="115" customFormat="1" ht="12">
      <c r="A487" s="39" t="s">
        <v>97</v>
      </c>
      <c r="B487" s="176"/>
      <c r="C487" s="39"/>
      <c r="D487" s="39"/>
      <c r="E487" s="39"/>
      <c r="F487" s="39"/>
      <c r="G487" s="39"/>
      <c r="H487" s="39"/>
      <c r="I487" s="39"/>
      <c r="J487" s="39"/>
      <c r="K487" s="39"/>
      <c r="L487" s="448"/>
      <c r="M487" s="448"/>
      <c r="N487" s="39"/>
      <c r="O487" s="39"/>
      <c r="P487" s="39"/>
      <c r="Q487" s="39"/>
      <c r="R487" s="39"/>
    </row>
    <row r="488" spans="1:18" s="116" customFormat="1" ht="12">
      <c r="A488" s="41"/>
      <c r="B488" s="177"/>
      <c r="C488" s="41"/>
      <c r="D488" s="41"/>
      <c r="E488" s="41"/>
      <c r="F488" s="41"/>
      <c r="G488" s="41"/>
      <c r="H488" s="41"/>
      <c r="I488" s="41"/>
      <c r="J488" s="41"/>
      <c r="K488" s="41"/>
      <c r="L488" s="109" t="s">
        <v>24</v>
      </c>
      <c r="M488" s="109" t="s">
        <v>32</v>
      </c>
      <c r="N488" s="43"/>
      <c r="O488" s="43"/>
      <c r="P488" s="43"/>
      <c r="Q488" s="43"/>
      <c r="R488" s="43"/>
    </row>
    <row r="489" spans="1:18" s="116" customFormat="1" ht="12">
      <c r="A489" s="41"/>
      <c r="B489" s="177"/>
      <c r="C489" s="41"/>
      <c r="D489" s="41"/>
      <c r="E489" s="41"/>
      <c r="F489" s="41"/>
      <c r="G489" s="41"/>
      <c r="H489" s="41"/>
      <c r="I489" s="41"/>
      <c r="J489" s="41"/>
      <c r="K489" s="41"/>
      <c r="L489" s="42" t="s">
        <v>24</v>
      </c>
      <c r="M489" s="42" t="s">
        <v>36</v>
      </c>
      <c r="N489" s="43">
        <f t="shared" ref="N489:O489" si="88">SUM(N490:N496)</f>
        <v>1649.26</v>
      </c>
      <c r="O489" s="43">
        <f t="shared" si="88"/>
        <v>1649.26</v>
      </c>
      <c r="P489" s="43">
        <f>SUM(P490:P496)</f>
        <v>98.2</v>
      </c>
      <c r="Q489" s="43">
        <f t="shared" ref="Q489:R489" si="89">SUM(Q490:Q496)</f>
        <v>0</v>
      </c>
      <c r="R489" s="43">
        <f t="shared" si="89"/>
        <v>0</v>
      </c>
    </row>
    <row r="490" spans="1:18" s="114" customFormat="1" ht="72">
      <c r="A490" s="479" t="s">
        <v>1152</v>
      </c>
      <c r="B490" s="100" t="s">
        <v>467</v>
      </c>
      <c r="C490" s="99"/>
      <c r="D490" s="99"/>
      <c r="E490" s="99"/>
      <c r="F490" s="491"/>
      <c r="G490" s="491"/>
      <c r="H490" s="491"/>
      <c r="I490" s="472" t="s">
        <v>932</v>
      </c>
      <c r="J490" s="472" t="s">
        <v>68</v>
      </c>
      <c r="K490" s="472" t="s">
        <v>862</v>
      </c>
      <c r="L490" s="100" t="s">
        <v>24</v>
      </c>
      <c r="M490" s="100" t="s">
        <v>36</v>
      </c>
      <c r="N490" s="110">
        <v>46.77</v>
      </c>
      <c r="O490" s="110">
        <v>46.77</v>
      </c>
      <c r="P490" s="110">
        <v>0</v>
      </c>
      <c r="Q490" s="110">
        <v>0</v>
      </c>
      <c r="R490" s="110">
        <v>0</v>
      </c>
    </row>
    <row r="491" spans="1:18" s="114" customFormat="1" ht="72">
      <c r="A491" s="479" t="s">
        <v>1153</v>
      </c>
      <c r="B491" s="100" t="s">
        <v>475</v>
      </c>
      <c r="C491" s="99"/>
      <c r="D491" s="99"/>
      <c r="E491" s="99"/>
      <c r="F491" s="491"/>
      <c r="G491" s="491"/>
      <c r="H491" s="491"/>
      <c r="I491" s="472" t="s">
        <v>922</v>
      </c>
      <c r="J491" s="472" t="s">
        <v>68</v>
      </c>
      <c r="K491" s="472" t="s">
        <v>923</v>
      </c>
      <c r="L491" s="100" t="s">
        <v>24</v>
      </c>
      <c r="M491" s="100" t="s">
        <v>36</v>
      </c>
      <c r="N491" s="110">
        <v>78</v>
      </c>
      <c r="O491" s="110">
        <v>78</v>
      </c>
      <c r="P491" s="110">
        <v>0</v>
      </c>
      <c r="Q491" s="110">
        <v>0</v>
      </c>
      <c r="R491" s="110">
        <v>0</v>
      </c>
    </row>
    <row r="492" spans="1:18" s="114" customFormat="1" ht="72.75" customHeight="1">
      <c r="A492" s="489" t="s">
        <v>1154</v>
      </c>
      <c r="B492" s="518" t="s">
        <v>497</v>
      </c>
      <c r="C492" s="101"/>
      <c r="D492" s="101"/>
      <c r="E492" s="101"/>
      <c r="F492" s="497"/>
      <c r="G492" s="497"/>
      <c r="H492" s="497"/>
      <c r="I492" s="442" t="s">
        <v>1067</v>
      </c>
      <c r="J492" s="442" t="s">
        <v>68</v>
      </c>
      <c r="K492" s="442" t="s">
        <v>989</v>
      </c>
      <c r="L492" s="518" t="s">
        <v>24</v>
      </c>
      <c r="M492" s="518" t="s">
        <v>36</v>
      </c>
      <c r="N492" s="88">
        <v>96.49</v>
      </c>
      <c r="O492" s="88">
        <v>96.49</v>
      </c>
      <c r="P492" s="88">
        <v>0</v>
      </c>
      <c r="Q492" s="88">
        <v>0</v>
      </c>
      <c r="R492" s="88">
        <v>0</v>
      </c>
    </row>
    <row r="493" spans="1:18" s="114" customFormat="1" ht="84">
      <c r="A493" s="489" t="s">
        <v>1155</v>
      </c>
      <c r="B493" s="518" t="s">
        <v>510</v>
      </c>
      <c r="C493" s="101"/>
      <c r="D493" s="101"/>
      <c r="E493" s="101"/>
      <c r="F493" s="497"/>
      <c r="G493" s="497"/>
      <c r="H493" s="497"/>
      <c r="I493" s="442" t="s">
        <v>1082</v>
      </c>
      <c r="J493" s="442" t="s">
        <v>68</v>
      </c>
      <c r="K493" s="442" t="s">
        <v>1083</v>
      </c>
      <c r="L493" s="518" t="s">
        <v>24</v>
      </c>
      <c r="M493" s="518" t="s">
        <v>36</v>
      </c>
      <c r="N493" s="88">
        <v>78</v>
      </c>
      <c r="O493" s="88">
        <v>78</v>
      </c>
      <c r="P493" s="88">
        <v>0</v>
      </c>
      <c r="Q493" s="88">
        <v>0</v>
      </c>
      <c r="R493" s="88">
        <v>0</v>
      </c>
    </row>
    <row r="494" spans="1:18" s="114" customFormat="1" ht="109.5" customHeight="1">
      <c r="A494" s="489" t="s">
        <v>1156</v>
      </c>
      <c r="B494" s="518" t="s">
        <v>465</v>
      </c>
      <c r="C494" s="101"/>
      <c r="D494" s="101"/>
      <c r="E494" s="101"/>
      <c r="F494" s="497" t="s">
        <v>1342</v>
      </c>
      <c r="G494" s="497" t="s">
        <v>1343</v>
      </c>
      <c r="H494" s="497" t="s">
        <v>523</v>
      </c>
      <c r="I494" s="472" t="s">
        <v>885</v>
      </c>
      <c r="J494" s="442" t="s">
        <v>68</v>
      </c>
      <c r="K494" s="442" t="s">
        <v>1099</v>
      </c>
      <c r="L494" s="518" t="s">
        <v>24</v>
      </c>
      <c r="M494" s="518" t="s">
        <v>36</v>
      </c>
      <c r="N494" s="88">
        <v>150</v>
      </c>
      <c r="O494" s="88">
        <v>150</v>
      </c>
      <c r="P494" s="88">
        <v>0</v>
      </c>
      <c r="Q494" s="88">
        <v>0</v>
      </c>
      <c r="R494" s="88">
        <v>0</v>
      </c>
    </row>
    <row r="495" spans="1:18" s="114" customFormat="1" ht="110.25" customHeight="1">
      <c r="A495" s="489" t="s">
        <v>1157</v>
      </c>
      <c r="B495" s="100" t="s">
        <v>511</v>
      </c>
      <c r="C495" s="99"/>
      <c r="D495" s="99"/>
      <c r="E495" s="99"/>
      <c r="F495" s="497" t="s">
        <v>1342</v>
      </c>
      <c r="G495" s="497" t="s">
        <v>1343</v>
      </c>
      <c r="H495" s="497" t="s">
        <v>523</v>
      </c>
      <c r="I495" s="472" t="s">
        <v>1081</v>
      </c>
      <c r="J495" s="472" t="s">
        <v>68</v>
      </c>
      <c r="K495" s="472" t="s">
        <v>1080</v>
      </c>
      <c r="L495" s="100" t="s">
        <v>24</v>
      </c>
      <c r="M495" s="100" t="s">
        <v>36</v>
      </c>
      <c r="N495" s="110">
        <v>1200</v>
      </c>
      <c r="O495" s="110">
        <v>1200</v>
      </c>
      <c r="P495" s="110">
        <v>0</v>
      </c>
      <c r="Q495" s="110">
        <v>0</v>
      </c>
      <c r="R495" s="110">
        <v>0</v>
      </c>
    </row>
    <row r="496" spans="1:18" s="114" customFormat="1" ht="37.5" customHeight="1">
      <c r="A496" s="479" t="s">
        <v>1158</v>
      </c>
      <c r="B496" s="100" t="s">
        <v>1065</v>
      </c>
      <c r="C496" s="99"/>
      <c r="D496" s="99"/>
      <c r="E496" s="99"/>
      <c r="F496" s="491"/>
      <c r="G496" s="491"/>
      <c r="H496" s="491"/>
      <c r="I496" s="472" t="s">
        <v>1244</v>
      </c>
      <c r="J496" s="472" t="s">
        <v>68</v>
      </c>
      <c r="K496" s="472" t="s">
        <v>1245</v>
      </c>
      <c r="L496" s="100" t="s">
        <v>24</v>
      </c>
      <c r="M496" s="100" t="s">
        <v>36</v>
      </c>
      <c r="N496" s="110">
        <v>0</v>
      </c>
      <c r="O496" s="110">
        <v>0</v>
      </c>
      <c r="P496" s="110">
        <v>98.2</v>
      </c>
      <c r="Q496" s="110">
        <v>0</v>
      </c>
      <c r="R496" s="110">
        <v>0</v>
      </c>
    </row>
    <row r="497" spans="1:18" s="115" customFormat="1" ht="119.25" hidden="1" customHeight="1">
      <c r="A497" s="103" t="s">
        <v>688</v>
      </c>
      <c r="B497" s="390" t="s">
        <v>689</v>
      </c>
      <c r="C497" s="93" t="s">
        <v>31</v>
      </c>
      <c r="D497" s="93" t="s">
        <v>31</v>
      </c>
      <c r="E497" s="93" t="s">
        <v>31</v>
      </c>
      <c r="F497" s="93" t="s">
        <v>31</v>
      </c>
      <c r="G497" s="93" t="s">
        <v>31</v>
      </c>
      <c r="H497" s="93" t="s">
        <v>31</v>
      </c>
      <c r="I497" s="448" t="s">
        <v>521</v>
      </c>
      <c r="J497" s="48" t="s">
        <v>68</v>
      </c>
      <c r="K497" s="448" t="s">
        <v>479</v>
      </c>
      <c r="L497" s="473" t="s">
        <v>35</v>
      </c>
      <c r="M497" s="458" t="s">
        <v>35</v>
      </c>
      <c r="N497" s="94"/>
      <c r="O497" s="94"/>
      <c r="P497" s="94"/>
      <c r="Q497" s="94"/>
      <c r="R497" s="175"/>
    </row>
    <row r="498" spans="1:18" s="115" customFormat="1" ht="49.5" customHeight="1">
      <c r="A498" s="93" t="s">
        <v>998</v>
      </c>
      <c r="B498" s="40">
        <v>2324</v>
      </c>
      <c r="C498" s="39"/>
      <c r="D498" s="39"/>
      <c r="E498" s="39"/>
      <c r="F498" s="39"/>
      <c r="G498" s="39"/>
      <c r="H498" s="39"/>
      <c r="I498" s="488"/>
      <c r="J498" s="108"/>
      <c r="K498" s="488"/>
      <c r="L498" s="40"/>
      <c r="M498" s="176"/>
      <c r="N498" s="242">
        <f t="shared" ref="N498:O498" si="90">SUM(N499:N503)</f>
        <v>4829</v>
      </c>
      <c r="O498" s="242">
        <f t="shared" si="90"/>
        <v>4766.8890000000001</v>
      </c>
      <c r="P498" s="242">
        <f>SUM(P499:P503)</f>
        <v>230</v>
      </c>
      <c r="Q498" s="242">
        <f t="shared" ref="Q498:R498" si="91">SUM(Q499:Q503)</f>
        <v>0</v>
      </c>
      <c r="R498" s="242">
        <f t="shared" si="91"/>
        <v>0</v>
      </c>
    </row>
    <row r="499" spans="1:18" s="114" customFormat="1" ht="60">
      <c r="A499" s="99" t="s">
        <v>1159</v>
      </c>
      <c r="B499" s="100" t="s">
        <v>490</v>
      </c>
      <c r="C499" s="99"/>
      <c r="D499" s="99"/>
      <c r="E499" s="99"/>
      <c r="F499" s="99"/>
      <c r="G499" s="99"/>
      <c r="H499" s="99"/>
      <c r="I499" s="463" t="s">
        <v>1048</v>
      </c>
      <c r="J499" s="463" t="s">
        <v>68</v>
      </c>
      <c r="K499" s="496" t="s">
        <v>960</v>
      </c>
      <c r="L499" s="100" t="s">
        <v>35</v>
      </c>
      <c r="M499" s="100" t="s">
        <v>41</v>
      </c>
      <c r="N499" s="110">
        <v>2164.5</v>
      </c>
      <c r="O499" s="105">
        <v>2164.5</v>
      </c>
      <c r="P499" s="110">
        <v>0</v>
      </c>
      <c r="Q499" s="105">
        <v>0</v>
      </c>
      <c r="R499" s="105">
        <v>0</v>
      </c>
    </row>
    <row r="500" spans="1:18" s="114" customFormat="1" ht="60">
      <c r="A500" s="99" t="s">
        <v>1161</v>
      </c>
      <c r="B500" s="100" t="s">
        <v>501</v>
      </c>
      <c r="C500" s="99"/>
      <c r="D500" s="99"/>
      <c r="E500" s="99"/>
      <c r="F500" s="99"/>
      <c r="G500" s="99"/>
      <c r="H500" s="99"/>
      <c r="I500" s="463" t="s">
        <v>997</v>
      </c>
      <c r="J500" s="463" t="s">
        <v>68</v>
      </c>
      <c r="K500" s="496" t="s">
        <v>995</v>
      </c>
      <c r="L500" s="100" t="s">
        <v>35</v>
      </c>
      <c r="M500" s="100" t="s">
        <v>41</v>
      </c>
      <c r="N500" s="110">
        <v>500</v>
      </c>
      <c r="O500" s="105">
        <v>500</v>
      </c>
      <c r="P500" s="110">
        <v>0</v>
      </c>
      <c r="Q500" s="105">
        <v>0</v>
      </c>
      <c r="R500" s="105">
        <v>0</v>
      </c>
    </row>
    <row r="501" spans="1:18" s="114" customFormat="1" ht="84.75" customHeight="1">
      <c r="A501" s="101" t="s">
        <v>1160</v>
      </c>
      <c r="B501" s="518" t="s">
        <v>893</v>
      </c>
      <c r="C501" s="101"/>
      <c r="D501" s="101"/>
      <c r="E501" s="101"/>
      <c r="F501" s="101"/>
      <c r="G501" s="101"/>
      <c r="H501" s="101"/>
      <c r="I501" s="440" t="s">
        <v>1100</v>
      </c>
      <c r="J501" s="440" t="s">
        <v>68</v>
      </c>
      <c r="K501" s="504" t="s">
        <v>1101</v>
      </c>
      <c r="L501" s="518" t="s">
        <v>35</v>
      </c>
      <c r="M501" s="518" t="s">
        <v>41</v>
      </c>
      <c r="N501" s="88">
        <v>2164.5</v>
      </c>
      <c r="O501" s="269">
        <v>2102.3890000000001</v>
      </c>
      <c r="P501" s="88">
        <v>0</v>
      </c>
      <c r="Q501" s="269">
        <v>0</v>
      </c>
      <c r="R501" s="269">
        <v>0</v>
      </c>
    </row>
    <row r="502" spans="1:18" s="114" customFormat="1" ht="60.75" customHeight="1">
      <c r="A502" s="99" t="s">
        <v>1162</v>
      </c>
      <c r="B502" s="100" t="s">
        <v>468</v>
      </c>
      <c r="C502" s="99"/>
      <c r="D502" s="99"/>
      <c r="E502" s="99"/>
      <c r="F502" s="99"/>
      <c r="G502" s="99"/>
      <c r="H502" s="99"/>
      <c r="I502" s="463" t="s">
        <v>1248</v>
      </c>
      <c r="J502" s="463" t="s">
        <v>68</v>
      </c>
      <c r="K502" s="496" t="s">
        <v>1247</v>
      </c>
      <c r="L502" s="100" t="s">
        <v>35</v>
      </c>
      <c r="M502" s="100" t="s">
        <v>41</v>
      </c>
      <c r="N502" s="110">
        <v>0</v>
      </c>
      <c r="O502" s="105">
        <v>0</v>
      </c>
      <c r="P502" s="110">
        <v>230</v>
      </c>
      <c r="Q502" s="105">
        <v>0</v>
      </c>
      <c r="R502" s="105">
        <v>0</v>
      </c>
    </row>
    <row r="503" spans="1:18" s="114" customFormat="1" ht="108" hidden="1" customHeight="1">
      <c r="A503" s="99" t="s">
        <v>1173</v>
      </c>
      <c r="B503" s="100" t="s">
        <v>1174</v>
      </c>
      <c r="C503" s="99"/>
      <c r="D503" s="99"/>
      <c r="E503" s="99"/>
      <c r="F503" s="491" t="s">
        <v>1344</v>
      </c>
      <c r="G503" s="491" t="s">
        <v>1346</v>
      </c>
      <c r="H503" s="491" t="s">
        <v>1345</v>
      </c>
      <c r="I503" s="463" t="s">
        <v>1270</v>
      </c>
      <c r="J503" s="463"/>
      <c r="K503" s="496"/>
      <c r="L503" s="100" t="s">
        <v>35</v>
      </c>
      <c r="M503" s="100" t="s">
        <v>41</v>
      </c>
      <c r="N503" s="110">
        <v>0</v>
      </c>
      <c r="O503" s="105">
        <v>0</v>
      </c>
      <c r="P503" s="110">
        <v>0</v>
      </c>
      <c r="Q503" s="105">
        <v>0</v>
      </c>
      <c r="R503" s="105">
        <v>0</v>
      </c>
    </row>
    <row r="504" spans="1:18" s="115" customFormat="1" ht="59.25" customHeight="1">
      <c r="A504" s="55" t="s">
        <v>690</v>
      </c>
      <c r="B504" s="468">
        <v>2326</v>
      </c>
      <c r="C504" s="55" t="s">
        <v>31</v>
      </c>
      <c r="D504" s="55" t="s">
        <v>31</v>
      </c>
      <c r="E504" s="55" t="s">
        <v>31</v>
      </c>
      <c r="F504" s="55" t="s">
        <v>31</v>
      </c>
      <c r="G504" s="55" t="s">
        <v>31</v>
      </c>
      <c r="H504" s="55" t="s">
        <v>31</v>
      </c>
      <c r="I504" s="55" t="s">
        <v>31</v>
      </c>
      <c r="J504" s="55" t="s">
        <v>31</v>
      </c>
      <c r="K504" s="55" t="s">
        <v>31</v>
      </c>
      <c r="L504" s="468"/>
      <c r="M504" s="468"/>
      <c r="N504" s="56">
        <f>SUM(N506:N520)</f>
        <v>28427.296000000002</v>
      </c>
      <c r="O504" s="56">
        <f>SUM(O506:O520)</f>
        <v>28369.141</v>
      </c>
      <c r="P504" s="56">
        <f>SUM(P506:P526)</f>
        <v>33001.803</v>
      </c>
      <c r="Q504" s="56">
        <f t="shared" ref="Q504:R504" si="92">SUM(Q506:Q522)</f>
        <v>0</v>
      </c>
      <c r="R504" s="56">
        <f t="shared" si="92"/>
        <v>0</v>
      </c>
    </row>
    <row r="505" spans="1:18" s="115" customFormat="1" ht="14.25" customHeight="1">
      <c r="A505" s="50" t="s">
        <v>691</v>
      </c>
      <c r="B505" s="59"/>
      <c r="C505" s="103"/>
      <c r="D505" s="103"/>
      <c r="E505" s="103"/>
      <c r="F505" s="103"/>
      <c r="G505" s="103"/>
      <c r="H505" s="103"/>
      <c r="I505" s="103"/>
      <c r="J505" s="103"/>
      <c r="K505" s="103"/>
      <c r="L505" s="59"/>
      <c r="M505" s="59"/>
      <c r="N505" s="56"/>
      <c r="O505" s="56"/>
      <c r="P505" s="56"/>
      <c r="Q505" s="56"/>
      <c r="R505" s="172"/>
    </row>
    <row r="506" spans="1:18" s="114" customFormat="1" ht="60">
      <c r="A506" s="609" t="s">
        <v>1176</v>
      </c>
      <c r="B506" s="659" t="s">
        <v>466</v>
      </c>
      <c r="C506" s="624"/>
      <c r="D506" s="624"/>
      <c r="E506" s="624"/>
      <c r="F506" s="624"/>
      <c r="G506" s="624"/>
      <c r="H506" s="624"/>
      <c r="I506" s="463" t="s">
        <v>864</v>
      </c>
      <c r="J506" s="463" t="s">
        <v>68</v>
      </c>
      <c r="K506" s="496" t="s">
        <v>863</v>
      </c>
      <c r="L506" s="100" t="s">
        <v>35</v>
      </c>
      <c r="M506" s="100" t="s">
        <v>41</v>
      </c>
      <c r="N506" s="88">
        <v>1058.816</v>
      </c>
      <c r="O506" s="269">
        <v>1000.6609999999999</v>
      </c>
      <c r="P506" s="88">
        <v>0</v>
      </c>
      <c r="Q506" s="269">
        <v>0</v>
      </c>
      <c r="R506" s="269">
        <v>0</v>
      </c>
    </row>
    <row r="507" spans="1:18" s="114" customFormat="1" ht="60">
      <c r="A507" s="546"/>
      <c r="B507" s="660"/>
      <c r="C507" s="540"/>
      <c r="D507" s="540"/>
      <c r="E507" s="540"/>
      <c r="F507" s="540"/>
      <c r="G507" s="540"/>
      <c r="H507" s="540"/>
      <c r="I507" s="463" t="s">
        <v>926</v>
      </c>
      <c r="J507" s="463" t="s">
        <v>68</v>
      </c>
      <c r="K507" s="496" t="s">
        <v>927</v>
      </c>
      <c r="L507" s="100" t="s">
        <v>35</v>
      </c>
      <c r="M507" s="100" t="s">
        <v>41</v>
      </c>
      <c r="N507" s="89"/>
      <c r="O507" s="47"/>
      <c r="P507" s="89"/>
      <c r="Q507" s="47"/>
      <c r="R507" s="47"/>
    </row>
    <row r="508" spans="1:18" s="114" customFormat="1" ht="60">
      <c r="A508" s="445"/>
      <c r="B508" s="519"/>
      <c r="C508" s="464"/>
      <c r="D508" s="464"/>
      <c r="E508" s="464"/>
      <c r="F508" s="464"/>
      <c r="G508" s="464"/>
      <c r="H508" s="464"/>
      <c r="I508" s="463" t="s">
        <v>1049</v>
      </c>
      <c r="J508" s="463" t="s">
        <v>68</v>
      </c>
      <c r="K508" s="496" t="s">
        <v>995</v>
      </c>
      <c r="L508" s="100" t="s">
        <v>35</v>
      </c>
      <c r="M508" s="100" t="s">
        <v>41</v>
      </c>
      <c r="N508" s="89"/>
      <c r="O508" s="47"/>
      <c r="P508" s="89"/>
      <c r="Q508" s="47"/>
      <c r="R508" s="47"/>
    </row>
    <row r="509" spans="1:18" s="114" customFormat="1" ht="60">
      <c r="A509" s="481"/>
      <c r="B509" s="74"/>
      <c r="C509" s="501"/>
      <c r="D509" s="501"/>
      <c r="E509" s="501"/>
      <c r="F509" s="501"/>
      <c r="G509" s="501"/>
      <c r="H509" s="501"/>
      <c r="I509" s="463" t="s">
        <v>1004</v>
      </c>
      <c r="J509" s="463" t="s">
        <v>68</v>
      </c>
      <c r="K509" s="496" t="s">
        <v>1003</v>
      </c>
      <c r="L509" s="100" t="s">
        <v>35</v>
      </c>
      <c r="M509" s="100" t="s">
        <v>41</v>
      </c>
      <c r="N509" s="107"/>
      <c r="O509" s="70"/>
      <c r="P509" s="107"/>
      <c r="Q509" s="70"/>
      <c r="R509" s="70"/>
    </row>
    <row r="510" spans="1:18" s="114" customFormat="1" ht="36.75" customHeight="1">
      <c r="A510" s="99" t="s">
        <v>1177</v>
      </c>
      <c r="B510" s="100" t="s">
        <v>477</v>
      </c>
      <c r="C510" s="99"/>
      <c r="D510" s="99"/>
      <c r="E510" s="99"/>
      <c r="F510" s="99"/>
      <c r="G510" s="99"/>
      <c r="H510" s="99"/>
      <c r="I510" s="463" t="s">
        <v>883</v>
      </c>
      <c r="J510" s="463" t="s">
        <v>68</v>
      </c>
      <c r="K510" s="496" t="s">
        <v>880</v>
      </c>
      <c r="L510" s="100" t="s">
        <v>35</v>
      </c>
      <c r="M510" s="100" t="s">
        <v>41</v>
      </c>
      <c r="N510" s="110">
        <v>155</v>
      </c>
      <c r="O510" s="105">
        <v>155</v>
      </c>
      <c r="P510" s="110">
        <v>0</v>
      </c>
      <c r="Q510" s="105">
        <v>0</v>
      </c>
      <c r="R510" s="105">
        <v>0</v>
      </c>
    </row>
    <row r="511" spans="1:18" s="114" customFormat="1" ht="60">
      <c r="A511" s="99" t="s">
        <v>1178</v>
      </c>
      <c r="B511" s="100" t="s">
        <v>476</v>
      </c>
      <c r="C511" s="99"/>
      <c r="D511" s="99"/>
      <c r="E511" s="99"/>
      <c r="F511" s="99"/>
      <c r="G511" s="99"/>
      <c r="H511" s="99"/>
      <c r="I511" s="463" t="s">
        <v>928</v>
      </c>
      <c r="J511" s="463" t="s">
        <v>68</v>
      </c>
      <c r="K511" s="496" t="s">
        <v>880</v>
      </c>
      <c r="L511" s="100" t="s">
        <v>35</v>
      </c>
      <c r="M511" s="100" t="s">
        <v>41</v>
      </c>
      <c r="N511" s="110">
        <v>112.712</v>
      </c>
      <c r="O511" s="105">
        <v>112.712</v>
      </c>
      <c r="P511" s="110">
        <v>0</v>
      </c>
      <c r="Q511" s="105">
        <v>0</v>
      </c>
      <c r="R511" s="105">
        <v>0</v>
      </c>
    </row>
    <row r="512" spans="1:18" s="114" customFormat="1" ht="84">
      <c r="A512" s="99" t="s">
        <v>1179</v>
      </c>
      <c r="B512" s="100" t="s">
        <v>483</v>
      </c>
      <c r="C512" s="99"/>
      <c r="D512" s="99"/>
      <c r="E512" s="99"/>
      <c r="F512" s="99"/>
      <c r="G512" s="99"/>
      <c r="H512" s="99"/>
      <c r="I512" s="463" t="s">
        <v>1097</v>
      </c>
      <c r="J512" s="463" t="s">
        <v>68</v>
      </c>
      <c r="K512" s="496" t="s">
        <v>956</v>
      </c>
      <c r="L512" s="100" t="s">
        <v>35</v>
      </c>
      <c r="M512" s="100" t="s">
        <v>41</v>
      </c>
      <c r="N512" s="110">
        <v>4161.058</v>
      </c>
      <c r="O512" s="105">
        <v>4161.058</v>
      </c>
      <c r="P512" s="110">
        <v>0</v>
      </c>
      <c r="Q512" s="105">
        <v>0</v>
      </c>
      <c r="R512" s="105">
        <v>0</v>
      </c>
    </row>
    <row r="513" spans="1:18" s="114" customFormat="1" ht="48">
      <c r="A513" s="99" t="s">
        <v>1180</v>
      </c>
      <c r="B513" s="100" t="s">
        <v>500</v>
      </c>
      <c r="C513" s="99"/>
      <c r="D513" s="99"/>
      <c r="E513" s="99"/>
      <c r="F513" s="99"/>
      <c r="G513" s="99"/>
      <c r="H513" s="99"/>
      <c r="I513" s="463" t="s">
        <v>1002</v>
      </c>
      <c r="J513" s="463" t="s">
        <v>68</v>
      </c>
      <c r="K513" s="496" t="s">
        <v>1050</v>
      </c>
      <c r="L513" s="100" t="s">
        <v>35</v>
      </c>
      <c r="M513" s="100" t="s">
        <v>41</v>
      </c>
      <c r="N513" s="110">
        <v>100</v>
      </c>
      <c r="O513" s="105">
        <v>100</v>
      </c>
      <c r="P513" s="110">
        <v>0</v>
      </c>
      <c r="Q513" s="105">
        <v>0</v>
      </c>
      <c r="R513" s="105">
        <v>0</v>
      </c>
    </row>
    <row r="514" spans="1:18" s="114" customFormat="1" ht="72" customHeight="1">
      <c r="A514" s="99" t="s">
        <v>1181</v>
      </c>
      <c r="B514" s="100" t="s">
        <v>729</v>
      </c>
      <c r="C514" s="99"/>
      <c r="D514" s="99"/>
      <c r="E514" s="99"/>
      <c r="F514" s="99"/>
      <c r="G514" s="99"/>
      <c r="H514" s="99"/>
      <c r="I514" s="463" t="s">
        <v>1066</v>
      </c>
      <c r="J514" s="463" t="s">
        <v>68</v>
      </c>
      <c r="K514" s="496" t="s">
        <v>1064</v>
      </c>
      <c r="L514" s="100" t="s">
        <v>35</v>
      </c>
      <c r="M514" s="100" t="s">
        <v>41</v>
      </c>
      <c r="N514" s="110">
        <v>45</v>
      </c>
      <c r="O514" s="105">
        <v>45</v>
      </c>
      <c r="P514" s="110">
        <v>0</v>
      </c>
      <c r="Q514" s="105">
        <v>0</v>
      </c>
      <c r="R514" s="105">
        <v>0</v>
      </c>
    </row>
    <row r="515" spans="1:18" s="114" customFormat="1" ht="60" customHeight="1">
      <c r="A515" s="99" t="s">
        <v>1186</v>
      </c>
      <c r="B515" s="100" t="s">
        <v>475</v>
      </c>
      <c r="C515" s="99"/>
      <c r="D515" s="99"/>
      <c r="E515" s="99"/>
      <c r="F515" s="99"/>
      <c r="G515" s="99"/>
      <c r="H515" s="99"/>
      <c r="I515" s="463" t="s">
        <v>1376</v>
      </c>
      <c r="J515" s="463" t="s">
        <v>68</v>
      </c>
      <c r="K515" s="496" t="s">
        <v>1375</v>
      </c>
      <c r="L515" s="100" t="s">
        <v>35</v>
      </c>
      <c r="M515" s="100" t="s">
        <v>41</v>
      </c>
      <c r="N515" s="110">
        <v>0</v>
      </c>
      <c r="O515" s="105">
        <v>0</v>
      </c>
      <c r="P515" s="110">
        <v>998.43</v>
      </c>
      <c r="Q515" s="105">
        <v>0</v>
      </c>
      <c r="R515" s="105">
        <v>0</v>
      </c>
    </row>
    <row r="516" spans="1:18" s="114" customFormat="1" ht="96">
      <c r="A516" s="99" t="s">
        <v>1187</v>
      </c>
      <c r="B516" s="100" t="s">
        <v>485</v>
      </c>
      <c r="C516" s="99"/>
      <c r="D516" s="99"/>
      <c r="E516" s="99"/>
      <c r="F516" s="99"/>
      <c r="G516" s="99"/>
      <c r="H516" s="99"/>
      <c r="I516" s="463" t="s">
        <v>1438</v>
      </c>
      <c r="J516" s="463" t="s">
        <v>68</v>
      </c>
      <c r="K516" s="496" t="s">
        <v>1434</v>
      </c>
      <c r="L516" s="100" t="s">
        <v>35</v>
      </c>
      <c r="M516" s="100" t="s">
        <v>41</v>
      </c>
      <c r="N516" s="110">
        <v>0</v>
      </c>
      <c r="O516" s="105">
        <v>0</v>
      </c>
      <c r="P516" s="110">
        <v>2693.6</v>
      </c>
      <c r="Q516" s="105">
        <v>0</v>
      </c>
      <c r="R516" s="105">
        <v>0</v>
      </c>
    </row>
    <row r="517" spans="1:18" s="114" customFormat="1" ht="24">
      <c r="A517" s="69" t="s">
        <v>692</v>
      </c>
      <c r="B517" s="100"/>
      <c r="C517" s="99"/>
      <c r="D517" s="99"/>
      <c r="E517" s="99"/>
      <c r="F517" s="99"/>
      <c r="G517" s="99"/>
      <c r="H517" s="99"/>
      <c r="I517" s="463"/>
      <c r="J517" s="463"/>
      <c r="K517" s="496"/>
      <c r="L517" s="491"/>
      <c r="M517" s="491"/>
      <c r="N517" s="99"/>
      <c r="O517" s="110"/>
      <c r="P517" s="99"/>
      <c r="Q517" s="99"/>
      <c r="R517" s="99"/>
    </row>
    <row r="518" spans="1:18" s="114" customFormat="1" ht="60.75" customHeight="1">
      <c r="A518" s="99" t="s">
        <v>693</v>
      </c>
      <c r="B518" s="158" t="s">
        <v>556</v>
      </c>
      <c r="C518" s="613"/>
      <c r="D518" s="613"/>
      <c r="E518" s="613"/>
      <c r="F518" s="613" t="s">
        <v>1347</v>
      </c>
      <c r="G518" s="613" t="s">
        <v>1348</v>
      </c>
      <c r="H518" s="613" t="s">
        <v>1345</v>
      </c>
      <c r="I518" s="633" t="s">
        <v>1438</v>
      </c>
      <c r="J518" s="555" t="s">
        <v>68</v>
      </c>
      <c r="K518" s="617" t="s">
        <v>1434</v>
      </c>
      <c r="L518" s="141" t="s">
        <v>35</v>
      </c>
      <c r="M518" s="100" t="s">
        <v>41</v>
      </c>
      <c r="N518" s="110">
        <v>672.88900000000001</v>
      </c>
      <c r="O518" s="110">
        <v>672.88900000000001</v>
      </c>
      <c r="P518" s="110">
        <v>727.27</v>
      </c>
      <c r="Q518" s="99">
        <v>0</v>
      </c>
      <c r="R518" s="99">
        <v>0</v>
      </c>
    </row>
    <row r="519" spans="1:18" s="114" customFormat="1" ht="60" customHeight="1">
      <c r="A519" s="45" t="s">
        <v>694</v>
      </c>
      <c r="B519" s="149" t="s">
        <v>557</v>
      </c>
      <c r="C519" s="624"/>
      <c r="D519" s="624"/>
      <c r="E519" s="624"/>
      <c r="F519" s="624"/>
      <c r="G519" s="624"/>
      <c r="H519" s="624"/>
      <c r="I519" s="634"/>
      <c r="J519" s="541"/>
      <c r="K519" s="635"/>
      <c r="L519" s="75" t="s">
        <v>35</v>
      </c>
      <c r="M519" s="509" t="s">
        <v>41</v>
      </c>
      <c r="N519" s="117">
        <v>21756.821</v>
      </c>
      <c r="O519" s="117">
        <v>21756.821</v>
      </c>
      <c r="P519" s="117">
        <v>23515.072</v>
      </c>
      <c r="Q519" s="117">
        <v>0</v>
      </c>
      <c r="R519" s="139">
        <v>0</v>
      </c>
    </row>
    <row r="520" spans="1:18" s="114" customFormat="1" ht="108.75" customHeight="1">
      <c r="A520" s="99" t="s">
        <v>907</v>
      </c>
      <c r="B520" s="100" t="s">
        <v>480</v>
      </c>
      <c r="C520" s="491"/>
      <c r="D520" s="491"/>
      <c r="E520" s="491"/>
      <c r="F520" s="497" t="s">
        <v>1342</v>
      </c>
      <c r="G520" s="497" t="s">
        <v>1343</v>
      </c>
      <c r="H520" s="497" t="s">
        <v>523</v>
      </c>
      <c r="I520" s="463" t="s">
        <v>920</v>
      </c>
      <c r="J520" s="463" t="s">
        <v>68</v>
      </c>
      <c r="K520" s="496" t="s">
        <v>921</v>
      </c>
      <c r="L520" s="100" t="s">
        <v>35</v>
      </c>
      <c r="M520" s="100" t="s">
        <v>41</v>
      </c>
      <c r="N520" s="110">
        <v>365</v>
      </c>
      <c r="O520" s="110">
        <v>365</v>
      </c>
      <c r="P520" s="110">
        <v>0</v>
      </c>
      <c r="Q520" s="110">
        <v>0</v>
      </c>
      <c r="R520" s="110">
        <v>0</v>
      </c>
    </row>
    <row r="521" spans="1:18" s="114" customFormat="1" ht="61.5" customHeight="1">
      <c r="A521" s="101" t="s">
        <v>1182</v>
      </c>
      <c r="B521" s="518" t="s">
        <v>1183</v>
      </c>
      <c r="C521" s="497"/>
      <c r="D521" s="497"/>
      <c r="E521" s="497"/>
      <c r="F521" s="624" t="s">
        <v>1353</v>
      </c>
      <c r="G521" s="624" t="s">
        <v>1361</v>
      </c>
      <c r="H521" s="624" t="s">
        <v>1345</v>
      </c>
      <c r="I521" s="541" t="s">
        <v>1376</v>
      </c>
      <c r="J521" s="541" t="s">
        <v>68</v>
      </c>
      <c r="K521" s="635" t="s">
        <v>1375</v>
      </c>
      <c r="L521" s="518" t="s">
        <v>35</v>
      </c>
      <c r="M521" s="518" t="s">
        <v>41</v>
      </c>
      <c r="N521" s="88">
        <v>0</v>
      </c>
      <c r="O521" s="88">
        <v>0</v>
      </c>
      <c r="P521" s="88">
        <v>2258.6</v>
      </c>
      <c r="Q521" s="88">
        <v>0</v>
      </c>
      <c r="R521" s="88">
        <v>0</v>
      </c>
    </row>
    <row r="522" spans="1:18" s="114" customFormat="1" ht="72" customHeight="1">
      <c r="A522" s="101" t="s">
        <v>1184</v>
      </c>
      <c r="B522" s="518" t="s">
        <v>1185</v>
      </c>
      <c r="C522" s="497"/>
      <c r="D522" s="497"/>
      <c r="E522" s="497"/>
      <c r="F522" s="628"/>
      <c r="G522" s="628"/>
      <c r="H522" s="628"/>
      <c r="I522" s="542"/>
      <c r="J522" s="542"/>
      <c r="K522" s="636"/>
      <c r="L522" s="518" t="s">
        <v>35</v>
      </c>
      <c r="M522" s="518" t="s">
        <v>41</v>
      </c>
      <c r="N522" s="88">
        <v>0</v>
      </c>
      <c r="O522" s="88">
        <v>0</v>
      </c>
      <c r="P522" s="88">
        <v>462.9</v>
      </c>
      <c r="Q522" s="88">
        <v>0</v>
      </c>
      <c r="R522" s="88">
        <v>0</v>
      </c>
    </row>
    <row r="523" spans="1:18" s="114" customFormat="1" ht="120" customHeight="1">
      <c r="A523" s="101" t="s">
        <v>1371</v>
      </c>
      <c r="B523" s="518" t="s">
        <v>465</v>
      </c>
      <c r="C523" s="497"/>
      <c r="D523" s="497"/>
      <c r="E523" s="497"/>
      <c r="F523" s="464" t="s">
        <v>1435</v>
      </c>
      <c r="G523" s="464" t="s">
        <v>835</v>
      </c>
      <c r="H523" s="464" t="s">
        <v>523</v>
      </c>
      <c r="I523" s="440" t="s">
        <v>1433</v>
      </c>
      <c r="J523" s="440" t="s">
        <v>68</v>
      </c>
      <c r="K523" s="504" t="s">
        <v>1434</v>
      </c>
      <c r="L523" s="518" t="s">
        <v>35</v>
      </c>
      <c r="M523" s="518" t="s">
        <v>41</v>
      </c>
      <c r="N523" s="88">
        <v>0</v>
      </c>
      <c r="O523" s="88">
        <v>0</v>
      </c>
      <c r="P523" s="88">
        <v>100</v>
      </c>
      <c r="Q523" s="88">
        <v>0</v>
      </c>
      <c r="R523" s="88">
        <v>0</v>
      </c>
    </row>
    <row r="524" spans="1:18" s="114" customFormat="1" ht="84" customHeight="1">
      <c r="A524" s="101" t="s">
        <v>1428</v>
      </c>
      <c r="B524" s="518" t="s">
        <v>950</v>
      </c>
      <c r="C524" s="497"/>
      <c r="D524" s="497"/>
      <c r="E524" s="497"/>
      <c r="F524" s="491"/>
      <c r="G524" s="491"/>
      <c r="H524" s="491"/>
      <c r="I524" s="541" t="s">
        <v>1450</v>
      </c>
      <c r="J524" s="541" t="s">
        <v>68</v>
      </c>
      <c r="K524" s="635" t="s">
        <v>1451</v>
      </c>
      <c r="L524" s="518" t="s">
        <v>35</v>
      </c>
      <c r="M524" s="518" t="s">
        <v>41</v>
      </c>
      <c r="N524" s="88">
        <v>0</v>
      </c>
      <c r="O524" s="88">
        <v>0</v>
      </c>
      <c r="P524" s="88">
        <v>818</v>
      </c>
      <c r="Q524" s="88">
        <v>0</v>
      </c>
      <c r="R524" s="88">
        <v>0</v>
      </c>
    </row>
    <row r="525" spans="1:18" s="114" customFormat="1" ht="84.75" customHeight="1">
      <c r="A525" s="101" t="s">
        <v>1429</v>
      </c>
      <c r="B525" s="518" t="s">
        <v>946</v>
      </c>
      <c r="C525" s="497"/>
      <c r="D525" s="497"/>
      <c r="E525" s="497"/>
      <c r="F525" s="491"/>
      <c r="G525" s="491"/>
      <c r="H525" s="491"/>
      <c r="I525" s="539"/>
      <c r="J525" s="539"/>
      <c r="K525" s="603"/>
      <c r="L525" s="518" t="s">
        <v>35</v>
      </c>
      <c r="M525" s="518" t="s">
        <v>41</v>
      </c>
      <c r="N525" s="88">
        <v>0</v>
      </c>
      <c r="O525" s="88">
        <v>0</v>
      </c>
      <c r="P525" s="88">
        <v>999.952</v>
      </c>
      <c r="Q525" s="88">
        <v>0</v>
      </c>
      <c r="R525" s="88">
        <v>0</v>
      </c>
    </row>
    <row r="526" spans="1:18" s="114" customFormat="1" ht="106.5" customHeight="1">
      <c r="A526" s="101" t="s">
        <v>1430</v>
      </c>
      <c r="B526" s="518" t="s">
        <v>951</v>
      </c>
      <c r="C526" s="497"/>
      <c r="D526" s="497"/>
      <c r="E526" s="497"/>
      <c r="F526" s="491"/>
      <c r="G526" s="491"/>
      <c r="H526" s="491"/>
      <c r="I526" s="542"/>
      <c r="J526" s="542"/>
      <c r="K526" s="636"/>
      <c r="L526" s="518" t="s">
        <v>35</v>
      </c>
      <c r="M526" s="518" t="s">
        <v>41</v>
      </c>
      <c r="N526" s="88">
        <v>0</v>
      </c>
      <c r="O526" s="88">
        <v>0</v>
      </c>
      <c r="P526" s="88">
        <v>427.97899999999998</v>
      </c>
      <c r="Q526" s="88">
        <v>0</v>
      </c>
      <c r="R526" s="88">
        <v>0</v>
      </c>
    </row>
    <row r="527" spans="1:18" s="115" customFormat="1" ht="72" customHeight="1">
      <c r="A527" s="587" t="s">
        <v>695</v>
      </c>
      <c r="B527" s="102" t="s">
        <v>1431</v>
      </c>
      <c r="C527" s="96"/>
      <c r="D527" s="96"/>
      <c r="E527" s="96"/>
      <c r="F527" s="96"/>
      <c r="G527" s="96"/>
      <c r="H527" s="96"/>
      <c r="I527" s="541" t="s">
        <v>1453</v>
      </c>
      <c r="J527" s="541" t="s">
        <v>68</v>
      </c>
      <c r="K527" s="504" t="s">
        <v>1434</v>
      </c>
      <c r="L527" s="102" t="s">
        <v>37</v>
      </c>
      <c r="M527" s="102" t="s">
        <v>25</v>
      </c>
      <c r="N527" s="333">
        <v>1800</v>
      </c>
      <c r="O527" s="333">
        <v>0</v>
      </c>
      <c r="P527" s="333">
        <v>537</v>
      </c>
      <c r="Q527" s="333">
        <v>0</v>
      </c>
      <c r="R527" s="333">
        <v>0</v>
      </c>
    </row>
    <row r="528" spans="1:18" s="115" customFormat="1" ht="72" customHeight="1">
      <c r="A528" s="588"/>
      <c r="B528" s="352" t="s">
        <v>1432</v>
      </c>
      <c r="C528" s="78"/>
      <c r="D528" s="78"/>
      <c r="E528" s="78"/>
      <c r="F528" s="78"/>
      <c r="G528" s="78"/>
      <c r="H528" s="78"/>
      <c r="I528" s="542"/>
      <c r="J528" s="542"/>
      <c r="K528" s="450"/>
      <c r="L528" s="352" t="s">
        <v>37</v>
      </c>
      <c r="M528" s="352" t="s">
        <v>25</v>
      </c>
      <c r="N528" s="523">
        <v>1800</v>
      </c>
      <c r="O528" s="523">
        <v>0</v>
      </c>
      <c r="P528" s="523">
        <v>537</v>
      </c>
      <c r="Q528" s="523">
        <v>0</v>
      </c>
      <c r="R528" s="523">
        <v>0</v>
      </c>
    </row>
    <row r="529" spans="1:18" s="115" customFormat="1" ht="24">
      <c r="A529" s="469" t="s">
        <v>948</v>
      </c>
      <c r="B529" s="102" t="s">
        <v>949</v>
      </c>
      <c r="C529" s="96"/>
      <c r="D529" s="96"/>
      <c r="E529" s="96"/>
      <c r="F529" s="96"/>
      <c r="G529" s="96"/>
      <c r="H529" s="96"/>
      <c r="I529" s="324"/>
      <c r="J529" s="440"/>
      <c r="K529" s="504"/>
      <c r="L529" s="102"/>
      <c r="M529" s="102"/>
      <c r="N529" s="333">
        <f>SUM(N530:N532)</f>
        <v>1247.384</v>
      </c>
      <c r="O529" s="333">
        <f t="shared" ref="O529:R529" si="93">SUM(O530:O532)</f>
        <v>1247.384</v>
      </c>
      <c r="P529" s="333">
        <f t="shared" si="93"/>
        <v>0</v>
      </c>
      <c r="Q529" s="333">
        <f t="shared" si="93"/>
        <v>0</v>
      </c>
      <c r="R529" s="333">
        <f t="shared" si="93"/>
        <v>0</v>
      </c>
    </row>
    <row r="530" spans="1:18" s="114" customFormat="1" ht="106.5" customHeight="1">
      <c r="A530" s="445"/>
      <c r="B530" s="519" t="s">
        <v>950</v>
      </c>
      <c r="C530" s="54"/>
      <c r="D530" s="54"/>
      <c r="E530" s="54"/>
      <c r="F530" s="540" t="s">
        <v>1335</v>
      </c>
      <c r="G530" s="540" t="s">
        <v>68</v>
      </c>
      <c r="H530" s="540" t="s">
        <v>1336</v>
      </c>
      <c r="I530" s="1" t="s">
        <v>1006</v>
      </c>
      <c r="J530" s="449" t="s">
        <v>68</v>
      </c>
      <c r="K530" s="450" t="s">
        <v>965</v>
      </c>
      <c r="L530" s="519" t="s">
        <v>35</v>
      </c>
      <c r="M530" s="519" t="s">
        <v>41</v>
      </c>
      <c r="N530" s="89">
        <v>724.22799999999995</v>
      </c>
      <c r="O530" s="89">
        <v>724.22799999999995</v>
      </c>
      <c r="P530" s="89">
        <v>0</v>
      </c>
      <c r="Q530" s="89">
        <v>0</v>
      </c>
      <c r="R530" s="89">
        <v>0</v>
      </c>
    </row>
    <row r="531" spans="1:18" s="114" customFormat="1" ht="106.5" customHeight="1">
      <c r="A531" s="445"/>
      <c r="B531" s="519" t="s">
        <v>951</v>
      </c>
      <c r="C531" s="54"/>
      <c r="D531" s="54"/>
      <c r="E531" s="54"/>
      <c r="F531" s="540"/>
      <c r="G531" s="540"/>
      <c r="H531" s="540"/>
      <c r="I531" s="1" t="s">
        <v>1009</v>
      </c>
      <c r="J531" s="449" t="s">
        <v>68</v>
      </c>
      <c r="K531" s="450" t="s">
        <v>1010</v>
      </c>
      <c r="L531" s="519" t="s">
        <v>35</v>
      </c>
      <c r="M531" s="519" t="s">
        <v>41</v>
      </c>
      <c r="N531" s="89">
        <v>328.65600000000001</v>
      </c>
      <c r="O531" s="89">
        <v>328.65600000000001</v>
      </c>
      <c r="P531" s="89">
        <v>0</v>
      </c>
      <c r="Q531" s="89">
        <v>0</v>
      </c>
      <c r="R531" s="89">
        <v>0</v>
      </c>
    </row>
    <row r="532" spans="1:18" s="114" customFormat="1" ht="120">
      <c r="A532" s="106"/>
      <c r="B532" s="74" t="s">
        <v>488</v>
      </c>
      <c r="C532" s="106"/>
      <c r="D532" s="106"/>
      <c r="E532" s="106"/>
      <c r="F532" s="501" t="s">
        <v>1342</v>
      </c>
      <c r="G532" s="501" t="s">
        <v>1343</v>
      </c>
      <c r="H532" s="501" t="s">
        <v>523</v>
      </c>
      <c r="I532" s="443" t="s">
        <v>961</v>
      </c>
      <c r="J532" s="443" t="s">
        <v>68</v>
      </c>
      <c r="K532" s="443" t="s">
        <v>962</v>
      </c>
      <c r="L532" s="74" t="s">
        <v>35</v>
      </c>
      <c r="M532" s="74" t="s">
        <v>41</v>
      </c>
      <c r="N532" s="107">
        <v>194.5</v>
      </c>
      <c r="O532" s="107">
        <v>194.5</v>
      </c>
      <c r="P532" s="107">
        <v>0</v>
      </c>
      <c r="Q532" s="107">
        <v>0</v>
      </c>
      <c r="R532" s="107">
        <v>0</v>
      </c>
    </row>
    <row r="533" spans="1:18" s="115" customFormat="1" ht="84">
      <c r="A533" s="96" t="s">
        <v>696</v>
      </c>
      <c r="B533" s="484" t="s">
        <v>734</v>
      </c>
      <c r="C533" s="96"/>
      <c r="D533" s="96"/>
      <c r="E533" s="96"/>
      <c r="F533" s="96"/>
      <c r="G533" s="96"/>
      <c r="H533" s="96"/>
      <c r="I533" s="324" t="s">
        <v>416</v>
      </c>
      <c r="J533" s="440" t="s">
        <v>68</v>
      </c>
      <c r="K533" s="504" t="s">
        <v>118</v>
      </c>
      <c r="L533" s="102" t="s">
        <v>37</v>
      </c>
      <c r="M533" s="102" t="s">
        <v>35</v>
      </c>
      <c r="N533" s="96">
        <v>40</v>
      </c>
      <c r="O533" s="96">
        <v>40</v>
      </c>
      <c r="P533" s="96">
        <v>0</v>
      </c>
      <c r="Q533" s="96">
        <v>0</v>
      </c>
      <c r="R533" s="96">
        <v>0</v>
      </c>
    </row>
    <row r="534" spans="1:18" s="115" customFormat="1" ht="72">
      <c r="A534" s="78"/>
      <c r="B534" s="485"/>
      <c r="C534" s="78"/>
      <c r="D534" s="78"/>
      <c r="E534" s="78"/>
      <c r="F534" s="78"/>
      <c r="G534" s="78"/>
      <c r="H534" s="78"/>
      <c r="I534" s="1" t="s">
        <v>1051</v>
      </c>
      <c r="J534" s="449" t="s">
        <v>68</v>
      </c>
      <c r="K534" s="450" t="s">
        <v>1052</v>
      </c>
      <c r="L534" s="59"/>
      <c r="M534" s="59"/>
      <c r="N534" s="103"/>
      <c r="O534" s="103"/>
      <c r="P534" s="103"/>
      <c r="Q534" s="103"/>
      <c r="R534" s="103"/>
    </row>
    <row r="535" spans="1:18" s="115" customFormat="1" ht="48" hidden="1">
      <c r="A535" s="103"/>
      <c r="B535" s="59" t="s">
        <v>868</v>
      </c>
      <c r="C535" s="103"/>
      <c r="D535" s="103"/>
      <c r="E535" s="103"/>
      <c r="F535" s="103"/>
      <c r="G535" s="103"/>
      <c r="H535" s="103"/>
      <c r="I535" s="325"/>
      <c r="J535" s="441"/>
      <c r="K535" s="505"/>
      <c r="L535" s="334" t="s">
        <v>37</v>
      </c>
      <c r="M535" s="334" t="s">
        <v>35</v>
      </c>
      <c r="N535" s="103"/>
      <c r="O535" s="103"/>
      <c r="P535" s="335">
        <v>0</v>
      </c>
      <c r="Q535" s="103"/>
      <c r="R535" s="103"/>
    </row>
    <row r="536" spans="1:18" s="115" customFormat="1" ht="60" hidden="1">
      <c r="A536" s="69" t="s">
        <v>697</v>
      </c>
      <c r="B536" s="493">
        <v>2339</v>
      </c>
      <c r="C536" s="69"/>
      <c r="D536" s="69"/>
      <c r="E536" s="69"/>
      <c r="F536" s="69"/>
      <c r="G536" s="69"/>
      <c r="H536" s="69"/>
      <c r="I536" s="463" t="s">
        <v>513</v>
      </c>
      <c r="J536" s="463" t="s">
        <v>68</v>
      </c>
      <c r="K536" s="496" t="s">
        <v>514</v>
      </c>
      <c r="L536" s="104" t="s">
        <v>43</v>
      </c>
      <c r="M536" s="104" t="s">
        <v>43</v>
      </c>
      <c r="N536" s="359">
        <v>0</v>
      </c>
      <c r="O536" s="359">
        <v>0</v>
      </c>
      <c r="P536" s="359">
        <v>0</v>
      </c>
      <c r="Q536" s="359">
        <v>0</v>
      </c>
      <c r="R536" s="359">
        <v>0</v>
      </c>
    </row>
    <row r="537" spans="1:18" s="115" customFormat="1" ht="95.25" customHeight="1">
      <c r="A537" s="69" t="s">
        <v>1038</v>
      </c>
      <c r="B537" s="493" t="s">
        <v>1163</v>
      </c>
      <c r="C537" s="69"/>
      <c r="D537" s="69"/>
      <c r="E537" s="69"/>
      <c r="F537" s="491" t="s">
        <v>1349</v>
      </c>
      <c r="G537" s="491" t="s">
        <v>1350</v>
      </c>
      <c r="H537" s="491" t="s">
        <v>1351</v>
      </c>
      <c r="I537" s="463" t="s">
        <v>1270</v>
      </c>
      <c r="J537" s="463"/>
      <c r="K537" s="496"/>
      <c r="L537" s="104" t="s">
        <v>37</v>
      </c>
      <c r="M537" s="104" t="s">
        <v>35</v>
      </c>
      <c r="N537" s="359">
        <v>63.503999999999998</v>
      </c>
      <c r="O537" s="359">
        <v>63.503999999999998</v>
      </c>
      <c r="P537" s="359">
        <v>0</v>
      </c>
      <c r="Q537" s="359">
        <v>0</v>
      </c>
      <c r="R537" s="359">
        <v>0</v>
      </c>
    </row>
    <row r="538" spans="1:18" s="114" customFormat="1" ht="83.25" customHeight="1">
      <c r="A538" s="55" t="s">
        <v>698</v>
      </c>
      <c r="B538" s="468" t="s">
        <v>699</v>
      </c>
      <c r="C538" s="45"/>
      <c r="D538" s="45"/>
      <c r="E538" s="45"/>
      <c r="F538" s="45"/>
      <c r="G538" s="45"/>
      <c r="H538" s="45"/>
      <c r="I538" s="459" t="s">
        <v>508</v>
      </c>
      <c r="J538" s="81" t="s">
        <v>68</v>
      </c>
      <c r="K538" s="81" t="s">
        <v>509</v>
      </c>
      <c r="L538" s="494" t="s">
        <v>32</v>
      </c>
      <c r="M538" s="494" t="s">
        <v>43</v>
      </c>
      <c r="N538" s="56">
        <v>0</v>
      </c>
      <c r="O538" s="56">
        <v>0</v>
      </c>
      <c r="P538" s="56">
        <v>0</v>
      </c>
      <c r="Q538" s="56">
        <v>0</v>
      </c>
      <c r="R538" s="172">
        <v>0</v>
      </c>
    </row>
    <row r="539" spans="1:18" s="114" customFormat="1" ht="74.25" customHeight="1">
      <c r="A539" s="69" t="s">
        <v>700</v>
      </c>
      <c r="B539" s="104" t="s">
        <v>1039</v>
      </c>
      <c r="C539" s="491" t="s">
        <v>535</v>
      </c>
      <c r="D539" s="491" t="s">
        <v>537</v>
      </c>
      <c r="E539" s="491" t="s">
        <v>57</v>
      </c>
      <c r="F539" s="491"/>
      <c r="G539" s="491"/>
      <c r="H539" s="491"/>
      <c r="I539" s="178" t="s">
        <v>1042</v>
      </c>
      <c r="J539" s="362" t="s">
        <v>68</v>
      </c>
      <c r="K539" s="362" t="s">
        <v>1041</v>
      </c>
      <c r="L539" s="104" t="s">
        <v>37</v>
      </c>
      <c r="M539" s="104" t="s">
        <v>25</v>
      </c>
      <c r="N539" s="98">
        <v>54.9</v>
      </c>
      <c r="O539" s="98">
        <v>54.9</v>
      </c>
      <c r="P539" s="98">
        <v>0</v>
      </c>
      <c r="Q539" s="98">
        <v>0</v>
      </c>
      <c r="R539" s="98">
        <v>0</v>
      </c>
    </row>
    <row r="540" spans="1:18" s="114" customFormat="1" ht="84.75" customHeight="1">
      <c r="A540" s="451" t="s">
        <v>701</v>
      </c>
      <c r="B540" s="457" t="s">
        <v>702</v>
      </c>
      <c r="C540" s="34"/>
      <c r="D540" s="34"/>
      <c r="E540" s="34"/>
      <c r="F540" s="34"/>
      <c r="G540" s="34"/>
      <c r="H540" s="220"/>
      <c r="I540" s="221" t="s">
        <v>1239</v>
      </c>
      <c r="J540" s="490" t="s">
        <v>68</v>
      </c>
      <c r="K540" s="490" t="s">
        <v>309</v>
      </c>
      <c r="L540" s="493" t="s">
        <v>27</v>
      </c>
      <c r="M540" s="493" t="s">
        <v>41</v>
      </c>
      <c r="N540" s="98">
        <v>57848</v>
      </c>
      <c r="O540" s="98">
        <v>57848</v>
      </c>
      <c r="P540" s="415">
        <v>63710.400000000001</v>
      </c>
      <c r="Q540" s="38">
        <v>61511.5</v>
      </c>
      <c r="R540" s="169">
        <v>61511.5</v>
      </c>
    </row>
    <row r="541" spans="1:18" s="115" customFormat="1" ht="108.75" hidden="1" customHeight="1">
      <c r="A541" s="55" t="s">
        <v>6</v>
      </c>
      <c r="B541" s="468" t="s">
        <v>318</v>
      </c>
      <c r="C541" s="55" t="s">
        <v>31</v>
      </c>
      <c r="D541" s="55" t="s">
        <v>31</v>
      </c>
      <c r="E541" s="55" t="s">
        <v>31</v>
      </c>
      <c r="F541" s="55" t="s">
        <v>31</v>
      </c>
      <c r="G541" s="55" t="s">
        <v>31</v>
      </c>
      <c r="H541" s="55" t="s">
        <v>31</v>
      </c>
      <c r="I541" s="1" t="s">
        <v>319</v>
      </c>
      <c r="J541" s="1" t="s">
        <v>68</v>
      </c>
      <c r="K541" s="10" t="s">
        <v>316</v>
      </c>
      <c r="L541" s="468" t="s">
        <v>35</v>
      </c>
      <c r="M541" s="468" t="s">
        <v>36</v>
      </c>
      <c r="N541" s="55"/>
      <c r="O541" s="55"/>
      <c r="P541" s="55"/>
      <c r="Q541" s="55"/>
      <c r="R541" s="92"/>
    </row>
    <row r="542" spans="1:18" s="115" customFormat="1" ht="12.75" customHeight="1">
      <c r="A542" s="37" t="s">
        <v>703</v>
      </c>
      <c r="B542" s="467">
        <v>2352</v>
      </c>
      <c r="C542" s="37" t="s">
        <v>31</v>
      </c>
      <c r="D542" s="37" t="s">
        <v>31</v>
      </c>
      <c r="E542" s="37" t="s">
        <v>31</v>
      </c>
      <c r="F542" s="37" t="s">
        <v>31</v>
      </c>
      <c r="G542" s="37" t="s">
        <v>31</v>
      </c>
      <c r="H542" s="37" t="s">
        <v>31</v>
      </c>
      <c r="I542" s="37" t="s">
        <v>31</v>
      </c>
      <c r="J542" s="37" t="s">
        <v>31</v>
      </c>
      <c r="K542" s="79" t="s">
        <v>31</v>
      </c>
      <c r="L542" s="467" t="s">
        <v>23</v>
      </c>
      <c r="M542" s="467" t="s">
        <v>37</v>
      </c>
      <c r="N542" s="38">
        <f>SUM(N543:N544)</f>
        <v>2105.1099999999997</v>
      </c>
      <c r="O542" s="38">
        <f t="shared" ref="O542:R542" si="94">SUM(O543:O544)</f>
        <v>1263</v>
      </c>
      <c r="P542" s="38">
        <f t="shared" si="94"/>
        <v>2089.6509999999998</v>
      </c>
      <c r="Q542" s="38">
        <f t="shared" si="94"/>
        <v>0</v>
      </c>
      <c r="R542" s="38">
        <f t="shared" si="94"/>
        <v>0</v>
      </c>
    </row>
    <row r="543" spans="1:18" s="114" customFormat="1" ht="72.75" customHeight="1">
      <c r="A543" s="45"/>
      <c r="B543" s="508" t="s">
        <v>320</v>
      </c>
      <c r="C543" s="549" t="s">
        <v>367</v>
      </c>
      <c r="D543" s="549" t="s">
        <v>193</v>
      </c>
      <c r="E543" s="549" t="s">
        <v>194</v>
      </c>
      <c r="F543" s="549" t="s">
        <v>426</v>
      </c>
      <c r="G543" s="549" t="s">
        <v>427</v>
      </c>
      <c r="H543" s="629" t="s">
        <v>428</v>
      </c>
      <c r="I543" s="321" t="s">
        <v>1447</v>
      </c>
      <c r="J543" s="440" t="s">
        <v>68</v>
      </c>
      <c r="K543" s="326" t="s">
        <v>1448</v>
      </c>
      <c r="L543" s="459"/>
      <c r="M543" s="459"/>
      <c r="N543" s="20">
        <v>842</v>
      </c>
      <c r="O543" s="20">
        <v>842</v>
      </c>
      <c r="P543" s="20">
        <v>1247.577</v>
      </c>
      <c r="Q543" s="20">
        <v>0</v>
      </c>
      <c r="R543" s="170">
        <v>0</v>
      </c>
    </row>
    <row r="544" spans="1:18" s="114" customFormat="1" ht="86.25" customHeight="1">
      <c r="A544" s="45"/>
      <c r="B544" s="509" t="s">
        <v>871</v>
      </c>
      <c r="C544" s="564"/>
      <c r="D544" s="564"/>
      <c r="E544" s="564"/>
      <c r="F544" s="564"/>
      <c r="G544" s="564"/>
      <c r="H544" s="630"/>
      <c r="I544" s="188" t="s">
        <v>1255</v>
      </c>
      <c r="J544" s="449" t="s">
        <v>68</v>
      </c>
      <c r="K544" s="416" t="s">
        <v>1256</v>
      </c>
      <c r="L544" s="459"/>
      <c r="M544" s="459"/>
      <c r="N544" s="20">
        <v>1263.1099999999999</v>
      </c>
      <c r="O544" s="20">
        <v>421</v>
      </c>
      <c r="P544" s="20">
        <v>842.07399999999996</v>
      </c>
      <c r="Q544" s="20">
        <v>0</v>
      </c>
      <c r="R544" s="170">
        <v>0</v>
      </c>
    </row>
    <row r="545" spans="1:18" s="114" customFormat="1" ht="23.25" customHeight="1">
      <c r="A545" s="108" t="s">
        <v>53</v>
      </c>
      <c r="B545" s="488" t="s">
        <v>54</v>
      </c>
      <c r="C545" s="488" t="s">
        <v>29</v>
      </c>
      <c r="D545" s="488" t="s">
        <v>29</v>
      </c>
      <c r="E545" s="488" t="s">
        <v>29</v>
      </c>
      <c r="F545" s="488" t="s">
        <v>29</v>
      </c>
      <c r="G545" s="488" t="s">
        <v>29</v>
      </c>
      <c r="H545" s="488" t="s">
        <v>29</v>
      </c>
      <c r="I545" s="488" t="s">
        <v>29</v>
      </c>
      <c r="J545" s="488" t="s">
        <v>29</v>
      </c>
      <c r="K545" s="488" t="s">
        <v>29</v>
      </c>
      <c r="L545" s="488"/>
      <c r="M545" s="488"/>
      <c r="N545" s="111">
        <f>N6</f>
        <v>1777321.9390000002</v>
      </c>
      <c r="O545" s="111">
        <f>O6</f>
        <v>1729929.0179999999</v>
      </c>
      <c r="P545" s="111">
        <f>P6</f>
        <v>1811341.1582200001</v>
      </c>
      <c r="Q545" s="111">
        <f t="shared" ref="Q545:R545" si="95">Q6</f>
        <v>1539869.102</v>
      </c>
      <c r="R545" s="111">
        <f t="shared" si="95"/>
        <v>1323286.3900000001</v>
      </c>
    </row>
  </sheetData>
  <mergeCells count="364">
    <mergeCell ref="I89:I90"/>
    <mergeCell ref="J113:J114"/>
    <mergeCell ref="J61:J62"/>
    <mergeCell ref="K87:K88"/>
    <mergeCell ref="K61:K62"/>
    <mergeCell ref="K83:K84"/>
    <mergeCell ref="I326:I327"/>
    <mergeCell ref="I378:I380"/>
    <mergeCell ref="J378:J380"/>
    <mergeCell ref="K378:K380"/>
    <mergeCell ref="I451:I452"/>
    <mergeCell ref="J451:J452"/>
    <mergeCell ref="K451:K452"/>
    <mergeCell ref="I153:I155"/>
    <mergeCell ref="J153:J155"/>
    <mergeCell ref="K153:K155"/>
    <mergeCell ref="J381:J382"/>
    <mergeCell ref="A395:A396"/>
    <mergeCell ref="B395:B396"/>
    <mergeCell ref="C394:C397"/>
    <mergeCell ref="D394:D397"/>
    <mergeCell ref="E394:E397"/>
    <mergeCell ref="F394:F397"/>
    <mergeCell ref="G394:G397"/>
    <mergeCell ref="H394:H397"/>
    <mergeCell ref="F471:F474"/>
    <mergeCell ref="A458:A459"/>
    <mergeCell ref="F451:F452"/>
    <mergeCell ref="G451:G452"/>
    <mergeCell ref="H451:H452"/>
    <mergeCell ref="A286:A296"/>
    <mergeCell ref="B271:B272"/>
    <mergeCell ref="E278:E279"/>
    <mergeCell ref="F316:F317"/>
    <mergeCell ref="D278:D279"/>
    <mergeCell ref="D256:D257"/>
    <mergeCell ref="D286:D296"/>
    <mergeCell ref="C316:C320"/>
    <mergeCell ref="C286:C296"/>
    <mergeCell ref="F256:F257"/>
    <mergeCell ref="A284:A285"/>
    <mergeCell ref="C278:C279"/>
    <mergeCell ref="C256:C257"/>
    <mergeCell ref="A271:A272"/>
    <mergeCell ref="A280:A283"/>
    <mergeCell ref="G316:G317"/>
    <mergeCell ref="F286:F296"/>
    <mergeCell ref="K66:K67"/>
    <mergeCell ref="I120:I121"/>
    <mergeCell ref="I224:I225"/>
    <mergeCell ref="J224:J225"/>
    <mergeCell ref="K224:K225"/>
    <mergeCell ref="F140:F141"/>
    <mergeCell ref="G140:G141"/>
    <mergeCell ref="H140:H141"/>
    <mergeCell ref="G113:G114"/>
    <mergeCell ref="H113:H114"/>
    <mergeCell ref="I217:I218"/>
    <mergeCell ref="I241:I243"/>
    <mergeCell ref="F206:F207"/>
    <mergeCell ref="I221:I223"/>
    <mergeCell ref="F169:F174"/>
    <mergeCell ref="H256:H257"/>
    <mergeCell ref="G206:G207"/>
    <mergeCell ref="I219:I220"/>
    <mergeCell ref="F217:F218"/>
    <mergeCell ref="I87:I88"/>
    <mergeCell ref="K89:K90"/>
    <mergeCell ref="J89:J90"/>
    <mergeCell ref="A386:A388"/>
    <mergeCell ref="E381:E382"/>
    <mergeCell ref="G286:G296"/>
    <mergeCell ref="H286:H296"/>
    <mergeCell ref="I41:I42"/>
    <mergeCell ref="I318:I319"/>
    <mergeCell ref="J318:J319"/>
    <mergeCell ref="K318:K319"/>
    <mergeCell ref="I101:I102"/>
    <mergeCell ref="J101:J102"/>
    <mergeCell ref="F314:F315"/>
    <mergeCell ref="G241:G243"/>
    <mergeCell ref="H241:H243"/>
    <mergeCell ref="H217:H218"/>
    <mergeCell ref="F219:F220"/>
    <mergeCell ref="G219:G220"/>
    <mergeCell ref="H219:H220"/>
    <mergeCell ref="F221:F223"/>
    <mergeCell ref="G221:G223"/>
    <mergeCell ref="H221:H223"/>
    <mergeCell ref="G217:G218"/>
    <mergeCell ref="F241:F243"/>
    <mergeCell ref="I83:I84"/>
    <mergeCell ref="J83:J84"/>
    <mergeCell ref="A506:A507"/>
    <mergeCell ref="B506:B507"/>
    <mergeCell ref="C506:C507"/>
    <mergeCell ref="D506:D507"/>
    <mergeCell ref="E506:E507"/>
    <mergeCell ref="F506:F507"/>
    <mergeCell ref="F475:F478"/>
    <mergeCell ref="A475:A478"/>
    <mergeCell ref="G506:G507"/>
    <mergeCell ref="A480:A482"/>
    <mergeCell ref="G475:G478"/>
    <mergeCell ref="E475:E478"/>
    <mergeCell ref="D475:D478"/>
    <mergeCell ref="C475:C478"/>
    <mergeCell ref="H175:H177"/>
    <mergeCell ref="G175:G177"/>
    <mergeCell ref="Q149:Q150"/>
    <mergeCell ref="P149:P150"/>
    <mergeCell ref="H381:H382"/>
    <mergeCell ref="I286:I293"/>
    <mergeCell ref="F381:F383"/>
    <mergeCell ref="F325:F327"/>
    <mergeCell ref="E405:E406"/>
    <mergeCell ref="H405:H406"/>
    <mergeCell ref="G390:G392"/>
    <mergeCell ref="F405:F406"/>
    <mergeCell ref="G325:G327"/>
    <mergeCell ref="E316:E320"/>
    <mergeCell ref="E286:E296"/>
    <mergeCell ref="E325:E326"/>
    <mergeCell ref="H316:H317"/>
    <mergeCell ref="I364:I365"/>
    <mergeCell ref="H325:H327"/>
    <mergeCell ref="I381:I382"/>
    <mergeCell ref="G405:G406"/>
    <mergeCell ref="E390:E392"/>
    <mergeCell ref="I294:I296"/>
    <mergeCell ref="H390:H392"/>
    <mergeCell ref="J405:J406"/>
    <mergeCell ref="J286:J293"/>
    <mergeCell ref="J294:J296"/>
    <mergeCell ref="J521:J522"/>
    <mergeCell ref="K286:K293"/>
    <mergeCell ref="J390:J392"/>
    <mergeCell ref="K390:K392"/>
    <mergeCell ref="R149:R150"/>
    <mergeCell ref="M176:M177"/>
    <mergeCell ref="L176:L177"/>
    <mergeCell ref="M149:M150"/>
    <mergeCell ref="L149:L150"/>
    <mergeCell ref="N149:N150"/>
    <mergeCell ref="O149:O150"/>
    <mergeCell ref="M184:M185"/>
    <mergeCell ref="L184:L185"/>
    <mergeCell ref="K251:K252"/>
    <mergeCell ref="K326:K327"/>
    <mergeCell ref="K241:K243"/>
    <mergeCell ref="K256:K257"/>
    <mergeCell ref="J256:J257"/>
    <mergeCell ref="J219:J220"/>
    <mergeCell ref="J241:J243"/>
    <mergeCell ref="J251:J252"/>
    <mergeCell ref="J221:J223"/>
    <mergeCell ref="K294:K296"/>
    <mergeCell ref="K221:K223"/>
    <mergeCell ref="K219:K220"/>
    <mergeCell ref="J326:J327"/>
    <mergeCell ref="G471:G474"/>
    <mergeCell ref="J472:J473"/>
    <mergeCell ref="K472:K473"/>
    <mergeCell ref="I524:I526"/>
    <mergeCell ref="J524:J526"/>
    <mergeCell ref="K524:K526"/>
    <mergeCell ref="G530:G531"/>
    <mergeCell ref="H530:H531"/>
    <mergeCell ref="I518:I519"/>
    <mergeCell ref="I521:I522"/>
    <mergeCell ref="K521:K522"/>
    <mergeCell ref="I472:I473"/>
    <mergeCell ref="J518:J519"/>
    <mergeCell ref="K518:K519"/>
    <mergeCell ref="H518:H519"/>
    <mergeCell ref="H506:H507"/>
    <mergeCell ref="H475:H478"/>
    <mergeCell ref="I475:I477"/>
    <mergeCell ref="J475:J477"/>
    <mergeCell ref="K475:K477"/>
    <mergeCell ref="H471:H474"/>
    <mergeCell ref="L2:M3"/>
    <mergeCell ref="N3:O3"/>
    <mergeCell ref="C543:C544"/>
    <mergeCell ref="D543:D544"/>
    <mergeCell ref="E543:E544"/>
    <mergeCell ref="F543:F544"/>
    <mergeCell ref="E518:E519"/>
    <mergeCell ref="F518:F519"/>
    <mergeCell ref="C518:C519"/>
    <mergeCell ref="D518:D519"/>
    <mergeCell ref="D471:D474"/>
    <mergeCell ref="C471:C474"/>
    <mergeCell ref="F530:F531"/>
    <mergeCell ref="F521:F522"/>
    <mergeCell ref="E471:E474"/>
    <mergeCell ref="G543:G544"/>
    <mergeCell ref="H543:H544"/>
    <mergeCell ref="K405:K406"/>
    <mergeCell ref="I405:I406"/>
    <mergeCell ref="G518:G519"/>
    <mergeCell ref="G381:G382"/>
    <mergeCell ref="K381:K382"/>
    <mergeCell ref="G521:G522"/>
    <mergeCell ref="H521:H522"/>
    <mergeCell ref="K59:K60"/>
    <mergeCell ref="J87:J88"/>
    <mergeCell ref="B17:B18"/>
    <mergeCell ref="C36:C37"/>
    <mergeCell ref="K36:K37"/>
    <mergeCell ref="J36:J37"/>
    <mergeCell ref="H36:H37"/>
    <mergeCell ref="I36:I37"/>
    <mergeCell ref="E36:E37"/>
    <mergeCell ref="G36:G37"/>
    <mergeCell ref="F36:F37"/>
    <mergeCell ref="D28:D29"/>
    <mergeCell ref="C28:C29"/>
    <mergeCell ref="F39:F40"/>
    <mergeCell ref="H43:H44"/>
    <mergeCell ref="F43:F44"/>
    <mergeCell ref="I54:I55"/>
    <mergeCell ref="J54:J55"/>
    <mergeCell ref="I43:I44"/>
    <mergeCell ref="J43:J44"/>
    <mergeCell ref="K43:K44"/>
    <mergeCell ref="I61:I62"/>
    <mergeCell ref="I113:I114"/>
    <mergeCell ref="F251:F252"/>
    <mergeCell ref="B12:B15"/>
    <mergeCell ref="A1:R1"/>
    <mergeCell ref="C2:K2"/>
    <mergeCell ref="C3:E3"/>
    <mergeCell ref="I3:K3"/>
    <mergeCell ref="F3:H3"/>
    <mergeCell ref="K113:K114"/>
    <mergeCell ref="F83:F84"/>
    <mergeCell ref="H110:H111"/>
    <mergeCell ref="A50:A52"/>
    <mergeCell ref="A79:A81"/>
    <mergeCell ref="B79:B81"/>
    <mergeCell ref="A36:A37"/>
    <mergeCell ref="B36:B37"/>
    <mergeCell ref="B50:B52"/>
    <mergeCell ref="B2:B4"/>
    <mergeCell ref="I59:I60"/>
    <mergeCell ref="N2:R2"/>
    <mergeCell ref="P3:P4"/>
    <mergeCell ref="F28:F29"/>
    <mergeCell ref="B9:B10"/>
    <mergeCell ref="J59:J60"/>
    <mergeCell ref="A527:A528"/>
    <mergeCell ref="A390:A392"/>
    <mergeCell ref="A451:A452"/>
    <mergeCell ref="Q3:Q4"/>
    <mergeCell ref="A83:A84"/>
    <mergeCell ref="A2:A4"/>
    <mergeCell ref="I251:I252"/>
    <mergeCell ref="D113:D114"/>
    <mergeCell ref="D251:D252"/>
    <mergeCell ref="G127:G128"/>
    <mergeCell ref="G83:G84"/>
    <mergeCell ref="H83:H84"/>
    <mergeCell ref="H206:H207"/>
    <mergeCell ref="G134:G135"/>
    <mergeCell ref="F127:F128"/>
    <mergeCell ref="A9:A10"/>
    <mergeCell ref="A17:A18"/>
    <mergeCell ref="A19:A20"/>
    <mergeCell ref="B19:B20"/>
    <mergeCell ref="A113:A114"/>
    <mergeCell ref="A12:A15"/>
    <mergeCell ref="E28:E29"/>
    <mergeCell ref="D36:D37"/>
    <mergeCell ref="K54:K55"/>
    <mergeCell ref="F390:F392"/>
    <mergeCell ref="D325:D326"/>
    <mergeCell ref="B286:B296"/>
    <mergeCell ref="A381:A383"/>
    <mergeCell ref="A147:A148"/>
    <mergeCell ref="D316:D320"/>
    <mergeCell ref="G251:G252"/>
    <mergeCell ref="F232:F233"/>
    <mergeCell ref="E191:E193"/>
    <mergeCell ref="C325:C327"/>
    <mergeCell ref="D390:D392"/>
    <mergeCell ref="A152:A156"/>
    <mergeCell ref="A175:A177"/>
    <mergeCell ref="B364:B365"/>
    <mergeCell ref="A366:A367"/>
    <mergeCell ref="A213:A214"/>
    <mergeCell ref="C147:C148"/>
    <mergeCell ref="A178:A180"/>
    <mergeCell ref="C251:C252"/>
    <mergeCell ref="F175:F177"/>
    <mergeCell ref="E364:E365"/>
    <mergeCell ref="F364:F365"/>
    <mergeCell ref="G364:G365"/>
    <mergeCell ref="F318:F321"/>
    <mergeCell ref="H134:H135"/>
    <mergeCell ref="F110:F111"/>
    <mergeCell ref="E113:E114"/>
    <mergeCell ref="C113:C114"/>
    <mergeCell ref="H127:H128"/>
    <mergeCell ref="F134:F135"/>
    <mergeCell ref="F131:F132"/>
    <mergeCell ref="H54:H55"/>
    <mergeCell ref="H364:H365"/>
    <mergeCell ref="C364:C365"/>
    <mergeCell ref="D364:D365"/>
    <mergeCell ref="E134:E135"/>
    <mergeCell ref="D191:D193"/>
    <mergeCell ref="E175:E177"/>
    <mergeCell ref="D134:D135"/>
    <mergeCell ref="D147:D148"/>
    <mergeCell ref="E251:E252"/>
    <mergeCell ref="C175:C177"/>
    <mergeCell ref="C191:C193"/>
    <mergeCell ref="D175:D177"/>
    <mergeCell ref="C153:C156"/>
    <mergeCell ref="D153:D156"/>
    <mergeCell ref="E153:E156"/>
    <mergeCell ref="F54:F55"/>
    <mergeCell ref="G54:G55"/>
    <mergeCell ref="G110:G111"/>
    <mergeCell ref="F113:F114"/>
    <mergeCell ref="B129:B130"/>
    <mergeCell ref="E147:E148"/>
    <mergeCell ref="C134:C135"/>
    <mergeCell ref="A54:A55"/>
    <mergeCell ref="A61:A62"/>
    <mergeCell ref="A59:A60"/>
    <mergeCell ref="A87:A88"/>
    <mergeCell ref="A89:A90"/>
    <mergeCell ref="A110:A111"/>
    <mergeCell ref="B110:B111"/>
    <mergeCell ref="A129:A130"/>
    <mergeCell ref="A131:A132"/>
    <mergeCell ref="A133:A135"/>
    <mergeCell ref="B134:B135"/>
    <mergeCell ref="I66:I67"/>
    <mergeCell ref="J66:J67"/>
    <mergeCell ref="I527:I528"/>
    <mergeCell ref="J527:J528"/>
    <mergeCell ref="J364:J365"/>
    <mergeCell ref="K364:K365"/>
    <mergeCell ref="A202:A204"/>
    <mergeCell ref="A169:A174"/>
    <mergeCell ref="I179:I180"/>
    <mergeCell ref="J179:J180"/>
    <mergeCell ref="K179:K180"/>
    <mergeCell ref="I256:I257"/>
    <mergeCell ref="G256:G257"/>
    <mergeCell ref="F278:F279"/>
    <mergeCell ref="E256:E257"/>
    <mergeCell ref="H251:H252"/>
    <mergeCell ref="I390:I392"/>
    <mergeCell ref="A352:A353"/>
    <mergeCell ref="C390:C392"/>
    <mergeCell ref="D405:D406"/>
    <mergeCell ref="A471:A474"/>
    <mergeCell ref="C405:C406"/>
    <mergeCell ref="D381:D382"/>
    <mergeCell ref="C381:C382"/>
  </mergeCells>
  <phoneticPr fontId="0" type="noConversion"/>
  <pageMargins left="0.15748031496062992" right="0" top="1.0236220472440944" bottom="0.6692913385826772" header="0.39370078740157483" footer="0.39370078740157483"/>
  <pageSetup paperSize="9" scale="61" orientation="landscape" r:id="rId1"/>
  <headerFooter alignWithMargins="0">
    <oddFooter>&amp;L&amp;C&amp;"Arial"&amp;10&amp;P &amp;R</oddFooter>
  </headerFooter>
</worksheet>
</file>

<file path=xl/worksheets/sheet2.xml><?xml version="1.0" encoding="utf-8"?>
<worksheet xmlns="http://schemas.openxmlformats.org/spreadsheetml/2006/main" xmlns:r="http://schemas.openxmlformats.org/officeDocument/2006/relationships">
  <dimension ref="A2:EY44"/>
  <sheetViews>
    <sheetView zoomScaleNormal="100" workbookViewId="0">
      <pane xSplit="1" ySplit="2" topLeftCell="DA15" activePane="bottomRight" state="frozen"/>
      <selection pane="topRight" activeCell="B1" sqref="B1"/>
      <selection pane="bottomLeft" activeCell="A3" sqref="A3"/>
      <selection pane="bottomRight" activeCell="EU44" sqref="EU44"/>
    </sheetView>
  </sheetViews>
  <sheetFormatPr defaultRowHeight="12.75"/>
  <cols>
    <col min="1" max="1" width="6" style="130" customWidth="1"/>
    <col min="2" max="3" width="8.85546875" style="131" hidden="1" customWidth="1"/>
    <col min="4" max="4" width="6.7109375" style="131" hidden="1" customWidth="1"/>
    <col min="5" max="5" width="4.7109375" style="131" hidden="1" customWidth="1"/>
    <col min="6" max="7" width="7.28515625" style="131" hidden="1" customWidth="1"/>
    <col min="8" max="9" width="7.140625" style="131" hidden="1" customWidth="1"/>
    <col min="10" max="13" width="7.5703125" style="131" hidden="1" customWidth="1"/>
    <col min="14" max="15" width="9.7109375" style="131" hidden="1" customWidth="1"/>
    <col min="16" max="17" width="8.85546875" style="131" hidden="1" customWidth="1"/>
    <col min="18" max="19" width="8.28515625" style="131" hidden="1" customWidth="1"/>
    <col min="20" max="21" width="8.140625" style="131" hidden="1" customWidth="1"/>
    <col min="22" max="23" width="7.7109375" style="131" hidden="1" customWidth="1"/>
    <col min="24" max="25" width="6" style="131" hidden="1" customWidth="1"/>
    <col min="26" max="26" width="7.42578125" style="131" hidden="1" customWidth="1"/>
    <col min="27" max="27" width="8.85546875" style="131" hidden="1" customWidth="1"/>
    <col min="28" max="29" width="7.85546875" style="131" hidden="1" customWidth="1"/>
    <col min="30" max="31" width="8.28515625" style="131" hidden="1" customWidth="1"/>
    <col min="32" max="33" width="8.28515625" style="372" hidden="1" customWidth="1"/>
    <col min="34" max="37" width="6.28515625" style="131" hidden="1" customWidth="1"/>
    <col min="38" max="39" width="7.5703125" style="131" hidden="1" customWidth="1"/>
    <col min="40" max="41" width="7.7109375" style="131" hidden="1" customWidth="1"/>
    <col min="42" max="43" width="8.42578125" style="131" hidden="1" customWidth="1"/>
    <col min="44" max="45" width="6.7109375" style="131" hidden="1" customWidth="1"/>
    <col min="46" max="47" width="8.7109375" style="131" hidden="1" customWidth="1"/>
    <col min="48" max="49" width="8.140625" style="36" hidden="1" customWidth="1"/>
    <col min="50" max="51" width="8.7109375" style="36" hidden="1" customWidth="1"/>
    <col min="52" max="53" width="8.5703125" style="36" hidden="1" customWidth="1"/>
    <col min="54" max="57" width="8.140625" style="36" hidden="1" customWidth="1"/>
    <col min="58" max="59" width="6.140625" style="36" hidden="1" customWidth="1"/>
    <col min="60" max="61" width="6.28515625" style="36" hidden="1" customWidth="1"/>
    <col min="62" max="63" width="8.42578125" style="36" hidden="1" customWidth="1"/>
    <col min="64" max="65" width="7.42578125" style="36" hidden="1" customWidth="1"/>
    <col min="66" max="67" width="7.42578125" style="350" hidden="1" customWidth="1"/>
    <col min="68" max="69" width="7.42578125" style="36" hidden="1" customWidth="1"/>
    <col min="70" max="71" width="9.140625" style="36" hidden="1" customWidth="1"/>
    <col min="72" max="73" width="6.42578125" style="36" hidden="1" customWidth="1"/>
    <col min="74" max="75" width="7.42578125" style="36" hidden="1" customWidth="1"/>
    <col min="76" max="77" width="7.28515625" style="36" hidden="1" customWidth="1"/>
    <col min="78" max="79" width="6.140625" style="36" hidden="1" customWidth="1"/>
    <col min="80" max="81" width="6.85546875" style="36" hidden="1" customWidth="1"/>
    <col min="82" max="83" width="6.140625" style="36" hidden="1" customWidth="1"/>
    <col min="84" max="84" width="7.42578125" style="36" hidden="1" customWidth="1"/>
    <col min="85" max="85" width="6.28515625" style="36" hidden="1" customWidth="1"/>
    <col min="86" max="87" width="7.5703125" style="36" hidden="1" customWidth="1"/>
    <col min="88" max="93" width="7.42578125" style="36" hidden="1" customWidth="1"/>
    <col min="94" max="94" width="7.28515625" style="36" hidden="1" customWidth="1"/>
    <col min="95" max="95" width="6.7109375" style="36" hidden="1" customWidth="1"/>
    <col min="96" max="97" width="9" style="36" hidden="1" customWidth="1"/>
    <col min="98" max="99" width="7.5703125" style="36" hidden="1" customWidth="1"/>
    <col min="100" max="101" width="9.140625" style="36" hidden="1" customWidth="1"/>
    <col min="102" max="103" width="11.28515625" style="36" hidden="1" customWidth="1"/>
    <col min="104" max="105" width="8.85546875" style="36" customWidth="1"/>
    <col min="106" max="107" width="8" style="36" customWidth="1"/>
    <col min="108" max="109" width="8.42578125" style="36" customWidth="1"/>
    <col min="110" max="111" width="5.85546875" style="36" customWidth="1"/>
    <col min="112" max="113" width="9.5703125" style="36" customWidth="1"/>
    <col min="114" max="115" width="8.42578125" style="36" customWidth="1"/>
    <col min="116" max="117" width="6.7109375" style="36" customWidth="1"/>
    <col min="118" max="118" width="9.42578125" style="36" customWidth="1"/>
    <col min="119" max="119" width="9.140625" style="36" customWidth="1"/>
    <col min="120" max="121" width="6.5703125" style="36" hidden="1" customWidth="1"/>
    <col min="122" max="123" width="7.5703125" style="36" hidden="1" customWidth="1"/>
    <col min="124" max="124" width="8.85546875" style="36" customWidth="1"/>
    <col min="125" max="125" width="9.7109375" style="36" customWidth="1"/>
    <col min="126" max="129" width="8.7109375" style="36" customWidth="1"/>
    <col min="130" max="131" width="7.85546875" style="36" customWidth="1"/>
    <col min="132" max="133" width="7.28515625" style="36" customWidth="1"/>
    <col min="134" max="134" width="8.42578125" style="350" customWidth="1"/>
    <col min="135" max="135" width="8.28515625" style="350" customWidth="1"/>
    <col min="136" max="137" width="8.85546875" style="36" customWidth="1"/>
    <col min="138" max="141" width="8.85546875" style="350" customWidth="1"/>
    <col min="142" max="143" width="6" style="36" customWidth="1"/>
    <col min="144" max="147" width="6" style="350" customWidth="1"/>
    <col min="148" max="149" width="9" style="36" customWidth="1"/>
    <col min="150" max="151" width="9.28515625" style="36" customWidth="1"/>
    <col min="152" max="153" width="12" style="36" customWidth="1"/>
    <col min="154" max="155" width="9.140625" style="374"/>
    <col min="156" max="16384" width="9.140625" style="36"/>
  </cols>
  <sheetData>
    <row r="2" spans="1:155" s="127" customFormat="1">
      <c r="A2" s="126"/>
      <c r="B2" s="670" t="s">
        <v>34</v>
      </c>
      <c r="C2" s="671"/>
      <c r="D2" s="670" t="s">
        <v>393</v>
      </c>
      <c r="E2" s="671"/>
      <c r="F2" s="670" t="s">
        <v>39</v>
      </c>
      <c r="G2" s="671"/>
      <c r="H2" s="670" t="s">
        <v>602</v>
      </c>
      <c r="I2" s="671"/>
      <c r="J2" s="670" t="s">
        <v>388</v>
      </c>
      <c r="K2" s="671"/>
      <c r="L2" s="670" t="s">
        <v>42</v>
      </c>
      <c r="M2" s="671"/>
      <c r="N2" s="670" t="s">
        <v>746</v>
      </c>
      <c r="O2" s="671"/>
      <c r="P2" s="670" t="s">
        <v>386</v>
      </c>
      <c r="Q2" s="671"/>
      <c r="R2" s="670" t="s">
        <v>568</v>
      </c>
      <c r="S2" s="671"/>
      <c r="T2" s="670" t="s">
        <v>612</v>
      </c>
      <c r="U2" s="671"/>
      <c r="V2" s="670" t="s">
        <v>574</v>
      </c>
      <c r="W2" s="671"/>
      <c r="X2" s="670" t="s">
        <v>44</v>
      </c>
      <c r="Y2" s="671"/>
      <c r="Z2" s="670" t="s">
        <v>575</v>
      </c>
      <c r="AA2" s="671"/>
      <c r="AB2" s="670" t="s">
        <v>739</v>
      </c>
      <c r="AC2" s="671"/>
      <c r="AD2" s="670" t="s">
        <v>567</v>
      </c>
      <c r="AE2" s="671"/>
      <c r="AF2" s="672" t="s">
        <v>1040</v>
      </c>
      <c r="AG2" s="673"/>
      <c r="AH2" s="670" t="s">
        <v>744</v>
      </c>
      <c r="AI2" s="671"/>
      <c r="AJ2" s="670" t="s">
        <v>745</v>
      </c>
      <c r="AK2" s="671"/>
      <c r="AL2" s="670" t="s">
        <v>623</v>
      </c>
      <c r="AM2" s="671"/>
      <c r="AN2" s="670" t="s">
        <v>627</v>
      </c>
      <c r="AO2" s="671"/>
      <c r="AP2" s="670" t="s">
        <v>749</v>
      </c>
      <c r="AQ2" s="671"/>
      <c r="AR2" s="670" t="s">
        <v>45</v>
      </c>
      <c r="AS2" s="671"/>
      <c r="AT2" s="670" t="s">
        <v>747</v>
      </c>
      <c r="AU2" s="671"/>
      <c r="AV2" s="670" t="s">
        <v>48</v>
      </c>
      <c r="AW2" s="671"/>
      <c r="AX2" s="670" t="s">
        <v>748</v>
      </c>
      <c r="AY2" s="671"/>
      <c r="AZ2" s="670" t="s">
        <v>736</v>
      </c>
      <c r="BA2" s="671"/>
      <c r="BB2" s="670" t="s">
        <v>564</v>
      </c>
      <c r="BC2" s="671"/>
      <c r="BD2" s="670" t="s">
        <v>569</v>
      </c>
      <c r="BE2" s="671"/>
      <c r="BF2" s="670" t="s">
        <v>773</v>
      </c>
      <c r="BG2" s="671"/>
      <c r="BH2" s="670" t="s">
        <v>565</v>
      </c>
      <c r="BI2" s="671"/>
      <c r="BJ2" s="670" t="s">
        <v>740</v>
      </c>
      <c r="BK2" s="671"/>
      <c r="BL2" s="670" t="s">
        <v>737</v>
      </c>
      <c r="BM2" s="671"/>
      <c r="BN2" s="674" t="s">
        <v>1116</v>
      </c>
      <c r="BO2" s="675"/>
      <c r="BP2" s="670" t="s">
        <v>735</v>
      </c>
      <c r="BQ2" s="671"/>
      <c r="BR2" s="670" t="s">
        <v>738</v>
      </c>
      <c r="BS2" s="671"/>
      <c r="BT2" s="670" t="s">
        <v>566</v>
      </c>
      <c r="BU2" s="671"/>
      <c r="BV2" s="670" t="s">
        <v>52</v>
      </c>
      <c r="BW2" s="671"/>
      <c r="BX2" s="670" t="s">
        <v>741</v>
      </c>
      <c r="BY2" s="671"/>
      <c r="BZ2" s="670" t="s">
        <v>742</v>
      </c>
      <c r="CA2" s="671"/>
      <c r="CB2" s="670" t="s">
        <v>743</v>
      </c>
      <c r="CC2" s="671"/>
      <c r="CD2" s="670" t="s">
        <v>751</v>
      </c>
      <c r="CE2" s="671"/>
      <c r="CF2" s="670" t="s">
        <v>759</v>
      </c>
      <c r="CG2" s="671"/>
      <c r="CH2" s="670" t="s">
        <v>754</v>
      </c>
      <c r="CI2" s="671"/>
      <c r="CJ2" s="670" t="s">
        <v>576</v>
      </c>
      <c r="CK2" s="671"/>
      <c r="CL2" s="670" t="s">
        <v>750</v>
      </c>
      <c r="CM2" s="671"/>
      <c r="CN2" s="670" t="s">
        <v>752</v>
      </c>
      <c r="CO2" s="671"/>
      <c r="CP2" s="670" t="s">
        <v>755</v>
      </c>
      <c r="CQ2" s="671"/>
      <c r="CR2" s="670" t="s">
        <v>758</v>
      </c>
      <c r="CS2" s="671"/>
      <c r="CT2" s="670" t="s">
        <v>753</v>
      </c>
      <c r="CU2" s="671"/>
      <c r="CV2" s="670" t="s">
        <v>757</v>
      </c>
      <c r="CW2" s="671"/>
      <c r="CX2" s="670" t="s">
        <v>756</v>
      </c>
      <c r="CY2" s="671"/>
      <c r="CZ2" s="670" t="s">
        <v>772</v>
      </c>
      <c r="DA2" s="671"/>
      <c r="DB2" s="670" t="s">
        <v>761</v>
      </c>
      <c r="DC2" s="671"/>
      <c r="DD2" s="670" t="s">
        <v>769</v>
      </c>
      <c r="DE2" s="671"/>
      <c r="DF2" s="670" t="s">
        <v>760</v>
      </c>
      <c r="DG2" s="671"/>
      <c r="DH2" s="670" t="s">
        <v>767</v>
      </c>
      <c r="DI2" s="671"/>
      <c r="DJ2" s="670" t="s">
        <v>764</v>
      </c>
      <c r="DK2" s="671"/>
      <c r="DL2" s="670" t="s">
        <v>676</v>
      </c>
      <c r="DM2" s="671"/>
      <c r="DN2" s="670" t="s">
        <v>677</v>
      </c>
      <c r="DO2" s="671"/>
      <c r="DP2" s="670" t="s">
        <v>680</v>
      </c>
      <c r="DQ2" s="671"/>
      <c r="DR2" s="670" t="s">
        <v>762</v>
      </c>
      <c r="DS2" s="671"/>
      <c r="DT2" s="670" t="s">
        <v>765</v>
      </c>
      <c r="DU2" s="671"/>
      <c r="DV2" s="670" t="s">
        <v>911</v>
      </c>
      <c r="DW2" s="671"/>
      <c r="DX2" s="670" t="s">
        <v>982</v>
      </c>
      <c r="DY2" s="671"/>
      <c r="DZ2" s="670" t="s">
        <v>771</v>
      </c>
      <c r="EA2" s="671"/>
      <c r="EB2" s="670" t="s">
        <v>687</v>
      </c>
      <c r="EC2" s="671"/>
      <c r="ED2" s="674" t="s">
        <v>1119</v>
      </c>
      <c r="EE2" s="675"/>
      <c r="EF2" s="670" t="s">
        <v>768</v>
      </c>
      <c r="EG2" s="671"/>
      <c r="EH2" s="674" t="s">
        <v>856</v>
      </c>
      <c r="EI2" s="675"/>
      <c r="EJ2" s="674" t="s">
        <v>949</v>
      </c>
      <c r="EK2" s="675"/>
      <c r="EL2" s="670" t="s">
        <v>763</v>
      </c>
      <c r="EM2" s="671"/>
      <c r="EN2" s="674" t="s">
        <v>1117</v>
      </c>
      <c r="EO2" s="675"/>
      <c r="EP2" s="674" t="s">
        <v>1118</v>
      </c>
      <c r="EQ2" s="675"/>
      <c r="ER2" s="670" t="s">
        <v>702</v>
      </c>
      <c r="ES2" s="671"/>
      <c r="ET2" s="670" t="s">
        <v>770</v>
      </c>
      <c r="EU2" s="671"/>
      <c r="EV2" s="676" t="s">
        <v>406</v>
      </c>
      <c r="EW2" s="676"/>
      <c r="EX2" s="373"/>
      <c r="EY2" s="373"/>
    </row>
    <row r="3" spans="1:155">
      <c r="A3" s="128" t="s">
        <v>379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71"/>
      <c r="AG3" s="371"/>
      <c r="AH3" s="35"/>
      <c r="AI3" s="35"/>
      <c r="AJ3" s="35"/>
      <c r="AK3" s="35"/>
      <c r="AL3" s="35"/>
      <c r="AM3" s="35"/>
      <c r="AN3" s="35"/>
      <c r="AO3" s="35"/>
      <c r="AP3" s="35"/>
      <c r="AQ3" s="35"/>
      <c r="AR3" s="35"/>
      <c r="AS3" s="35"/>
      <c r="AT3" s="35"/>
      <c r="AU3" s="35"/>
      <c r="AV3" s="35"/>
      <c r="AW3" s="35"/>
      <c r="AX3" s="35"/>
      <c r="AY3" s="35"/>
      <c r="AZ3" s="35"/>
      <c r="BA3" s="35"/>
      <c r="BB3" s="35">
        <v>629.99400000000003</v>
      </c>
      <c r="BC3" s="35">
        <v>532.61199999999997</v>
      </c>
      <c r="BD3" s="35">
        <v>2419.299</v>
      </c>
      <c r="BE3" s="35">
        <v>2419.2530000000002</v>
      </c>
      <c r="BF3" s="35"/>
      <c r="BG3" s="35"/>
      <c r="BH3" s="35"/>
      <c r="BI3" s="35"/>
      <c r="BJ3" s="35"/>
      <c r="BK3" s="35"/>
      <c r="BL3" s="35"/>
      <c r="BM3" s="35"/>
      <c r="BN3" s="349"/>
      <c r="BO3" s="349"/>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49"/>
      <c r="EE3" s="349"/>
      <c r="EF3" s="35"/>
      <c r="EG3" s="35"/>
      <c r="EH3" s="349"/>
      <c r="EI3" s="349"/>
      <c r="EJ3" s="349"/>
      <c r="EK3" s="349"/>
      <c r="EL3" s="35"/>
      <c r="EM3" s="35"/>
      <c r="EN3" s="349"/>
      <c r="EO3" s="349"/>
      <c r="EP3" s="349"/>
      <c r="EQ3" s="349"/>
      <c r="ER3" s="35"/>
      <c r="ES3" s="35"/>
      <c r="ET3" s="35"/>
      <c r="EU3" s="35"/>
      <c r="EV3" s="222">
        <f t="shared" ref="EV3:EV30" si="0">B3+D3+F3+H3+J3+L3+N3+P3+R3+T3+V3+X3+Z3+AB3+AD3+AF3+AH3+AJ3+AL3+AN3+AP3+AR3+AT3+AV3+AX3+AZ3+BB3+BD3+BF3+BH3+BJ3+BL3+BN3+BP3+BR3+BT3+BV3+BX3+BZ3+CB3+CD3+CF3+CH3+CJ3+CL3+CN3+CP3+CR3+CT3+CV3+CX3+CZ3+DB3+DD3+DF3+DH3+DJ3+DL3+DN3+DP3+DR3+DT3+DZ3+EB3+EF3+EL3+ER3+ET3</f>
        <v>3049.2930000000001</v>
      </c>
      <c r="EW3" s="222">
        <f t="shared" ref="EW3:EW30" si="1">C3+E3+G3+I3+K3+M3+O3+Q3+S3+U3+W3+Y3+AA3+AC3+AE3+AG3+AI3+AK3+AM3+AO3+AQ3+AS3+AU3+AW3+AY3+BA3+BC3+BE3+BG3+BI3+BK3+BM3+BO3+BQ3+BS3+BU3+BW3+BY3+CA3+CC3+CE3+CG3+CI3+CK3+CM3+CO3+CQ3+CS3+CU3+CW3+CY3+DA3+DC3+DE3+DG3+DI3+DK3+DM3+DO3+DQ3+DS3+DU3+EA3+EC3+EG3+EM3+ES3+EU3</f>
        <v>2951.8650000000002</v>
      </c>
    </row>
    <row r="4" spans="1:155">
      <c r="A4" s="128" t="s">
        <v>380</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71"/>
      <c r="AG4" s="371"/>
      <c r="AH4" s="35"/>
      <c r="AI4" s="35"/>
      <c r="AJ4" s="35"/>
      <c r="AK4" s="35"/>
      <c r="AL4" s="35"/>
      <c r="AM4" s="35"/>
      <c r="AN4" s="35"/>
      <c r="AO4" s="35"/>
      <c r="AP4" s="35"/>
      <c r="AQ4" s="35"/>
      <c r="AR4" s="35"/>
      <c r="AS4" s="35"/>
      <c r="AT4" s="35"/>
      <c r="AU4" s="35"/>
      <c r="AV4" s="35"/>
      <c r="AW4" s="35"/>
      <c r="AX4" s="35"/>
      <c r="AY4" s="35"/>
      <c r="AZ4" s="35"/>
      <c r="BA4" s="35"/>
      <c r="BB4" s="35">
        <f>419.607+891.138</f>
        <v>1310.7450000000001</v>
      </c>
      <c r="BC4" s="35">
        <f>415.708+880.704</f>
        <v>1296.412</v>
      </c>
      <c r="BD4" s="35">
        <v>1609.4449999999999</v>
      </c>
      <c r="BE4" s="35">
        <v>1609.4449999999999</v>
      </c>
      <c r="BF4" s="35"/>
      <c r="BG4" s="35"/>
      <c r="BH4" s="35"/>
      <c r="BI4" s="35"/>
      <c r="BJ4" s="35"/>
      <c r="BK4" s="35"/>
      <c r="BL4" s="35"/>
      <c r="BM4" s="35"/>
      <c r="BN4" s="349"/>
      <c r="BO4" s="349"/>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49"/>
      <c r="EE4" s="349"/>
      <c r="EF4" s="35"/>
      <c r="EG4" s="35"/>
      <c r="EH4" s="349"/>
      <c r="EI4" s="349"/>
      <c r="EJ4" s="349"/>
      <c r="EK4" s="349"/>
      <c r="EL4" s="35"/>
      <c r="EM4" s="35"/>
      <c r="EN4" s="349"/>
      <c r="EO4" s="349"/>
      <c r="EP4" s="349"/>
      <c r="EQ4" s="349"/>
      <c r="ER4" s="35"/>
      <c r="ES4" s="35"/>
      <c r="ET4" s="35"/>
      <c r="EU4" s="35"/>
      <c r="EV4" s="222">
        <f t="shared" si="0"/>
        <v>2920.19</v>
      </c>
      <c r="EW4" s="222">
        <f t="shared" si="1"/>
        <v>2905.857</v>
      </c>
    </row>
    <row r="5" spans="1:155">
      <c r="A5" s="128" t="s">
        <v>381</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71"/>
      <c r="AG5" s="371"/>
      <c r="AH5" s="35"/>
      <c r="AI5" s="35"/>
      <c r="AJ5" s="35"/>
      <c r="AK5" s="35"/>
      <c r="AL5" s="35"/>
      <c r="AM5" s="35"/>
      <c r="AN5" s="35"/>
      <c r="AO5" s="35"/>
      <c r="AP5" s="35"/>
      <c r="AQ5" s="35"/>
      <c r="AR5" s="35"/>
      <c r="AS5" s="35"/>
      <c r="AT5" s="35"/>
      <c r="AU5" s="35"/>
      <c r="AV5" s="35"/>
      <c r="AW5" s="35"/>
      <c r="AX5" s="35"/>
      <c r="AY5" s="35"/>
      <c r="AZ5" s="35"/>
      <c r="BA5" s="35"/>
      <c r="BB5" s="35">
        <f>102.012+131.35+22431.935+94</f>
        <v>22759.297000000002</v>
      </c>
      <c r="BC5" s="35">
        <f>102.012+116.918+20583.562+94</f>
        <v>20896.492000000002</v>
      </c>
      <c r="BD5" s="35">
        <f>485+30530.875</f>
        <v>31015.875</v>
      </c>
      <c r="BE5" s="35">
        <f>485+30326.906</f>
        <v>30811.905999999999</v>
      </c>
      <c r="BF5" s="35"/>
      <c r="BG5" s="35"/>
      <c r="BH5" s="35">
        <v>910</v>
      </c>
      <c r="BI5" s="35">
        <v>910</v>
      </c>
      <c r="BJ5" s="35"/>
      <c r="BK5" s="35"/>
      <c r="BL5" s="35"/>
      <c r="BM5" s="35"/>
      <c r="BN5" s="349"/>
      <c r="BO5" s="349"/>
      <c r="BP5" s="35">
        <v>766</v>
      </c>
      <c r="BQ5" s="35">
        <v>741.08799999999997</v>
      </c>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49"/>
      <c r="EE5" s="349"/>
      <c r="EF5" s="35"/>
      <c r="EG5" s="35"/>
      <c r="EH5" s="349"/>
      <c r="EI5" s="349"/>
      <c r="EJ5" s="349"/>
      <c r="EK5" s="349"/>
      <c r="EL5" s="35"/>
      <c r="EM5" s="35"/>
      <c r="EN5" s="349"/>
      <c r="EO5" s="349"/>
      <c r="EP5" s="349"/>
      <c r="EQ5" s="349"/>
      <c r="ER5" s="35"/>
      <c r="ES5" s="35"/>
      <c r="ET5" s="35"/>
      <c r="EU5" s="35"/>
      <c r="EV5" s="222">
        <f t="shared" si="0"/>
        <v>55451.172000000006</v>
      </c>
      <c r="EW5" s="222">
        <f t="shared" si="1"/>
        <v>53359.486000000004</v>
      </c>
    </row>
    <row r="6" spans="1:155">
      <c r="A6" s="128" t="s">
        <v>445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71"/>
      <c r="AG6" s="37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49"/>
      <c r="BO6" s="349"/>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49"/>
      <c r="EE6" s="349"/>
      <c r="EF6" s="35"/>
      <c r="EG6" s="35"/>
      <c r="EH6" s="349"/>
      <c r="EI6" s="349"/>
      <c r="EJ6" s="349"/>
      <c r="EK6" s="349"/>
      <c r="EL6" s="35"/>
      <c r="EM6" s="35"/>
      <c r="EN6" s="349"/>
      <c r="EO6" s="349"/>
      <c r="EP6" s="349"/>
      <c r="EQ6" s="349"/>
      <c r="ER6" s="35"/>
      <c r="ES6" s="35"/>
      <c r="ET6" s="35"/>
      <c r="EU6" s="35"/>
      <c r="EV6" s="222">
        <f t="shared" si="0"/>
        <v>0</v>
      </c>
      <c r="EW6" s="222">
        <f t="shared" si="1"/>
        <v>0</v>
      </c>
    </row>
    <row r="7" spans="1:155">
      <c r="A7" s="128" t="s">
        <v>382</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71"/>
      <c r="AG7" s="371"/>
      <c r="AH7" s="35"/>
      <c r="AI7" s="35"/>
      <c r="AJ7" s="35"/>
      <c r="AK7" s="35"/>
      <c r="AL7" s="35"/>
      <c r="AM7" s="35"/>
      <c r="AN7" s="35"/>
      <c r="AO7" s="35"/>
      <c r="AP7" s="35"/>
      <c r="AQ7" s="35"/>
      <c r="AR7" s="35"/>
      <c r="AS7" s="35"/>
      <c r="AT7" s="35"/>
      <c r="AU7" s="35"/>
      <c r="AV7" s="35"/>
      <c r="AW7" s="35"/>
      <c r="AX7" s="35"/>
      <c r="AY7" s="35"/>
      <c r="AZ7" s="35"/>
      <c r="BA7" s="35"/>
      <c r="BB7" s="35">
        <f>41.885+5788.106+20.752+135.585+333.2</f>
        <v>6319.5280000000002</v>
      </c>
      <c r="BC7" s="35">
        <f>41.885+5608.202+20.752+135.585+333.165</f>
        <v>6139.5890000000009</v>
      </c>
      <c r="BD7" s="35">
        <f>158+14020.935+1107.247</f>
        <v>15286.181999999999</v>
      </c>
      <c r="BE7" s="35">
        <f>158+14005.834+1107.067</f>
        <v>15270.901000000002</v>
      </c>
      <c r="BF7" s="35"/>
      <c r="BG7" s="35"/>
      <c r="BH7" s="35"/>
      <c r="BI7" s="35"/>
      <c r="BJ7" s="35"/>
      <c r="BK7" s="35"/>
      <c r="BL7" s="35"/>
      <c r="BM7" s="35"/>
      <c r="BN7" s="349"/>
      <c r="BO7" s="349"/>
      <c r="BP7" s="35">
        <v>314.62799999999999</v>
      </c>
      <c r="BQ7" s="35">
        <v>314.62799999999999</v>
      </c>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49"/>
      <c r="EE7" s="349"/>
      <c r="EF7" s="35"/>
      <c r="EG7" s="35"/>
      <c r="EH7" s="349"/>
      <c r="EI7" s="349"/>
      <c r="EJ7" s="349"/>
      <c r="EK7" s="349"/>
      <c r="EL7" s="35"/>
      <c r="EM7" s="35"/>
      <c r="EN7" s="349"/>
      <c r="EO7" s="349"/>
      <c r="EP7" s="349"/>
      <c r="EQ7" s="349"/>
      <c r="ER7" s="35"/>
      <c r="ES7" s="35"/>
      <c r="ET7" s="35"/>
      <c r="EU7" s="35"/>
      <c r="EV7" s="222">
        <f t="shared" si="0"/>
        <v>21920.338</v>
      </c>
      <c r="EW7" s="222">
        <f t="shared" si="1"/>
        <v>21725.118000000002</v>
      </c>
    </row>
    <row r="8" spans="1:155">
      <c r="A8" s="128" t="s">
        <v>453</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71"/>
      <c r="AG8" s="371"/>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49"/>
      <c r="BO8" s="349"/>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49"/>
      <c r="EE8" s="349"/>
      <c r="EF8" s="35"/>
      <c r="EG8" s="35"/>
      <c r="EH8" s="349"/>
      <c r="EI8" s="349"/>
      <c r="EJ8" s="349"/>
      <c r="EK8" s="349"/>
      <c r="EL8" s="35"/>
      <c r="EM8" s="35"/>
      <c r="EN8" s="349"/>
      <c r="EO8" s="349"/>
      <c r="EP8" s="349"/>
      <c r="EQ8" s="349"/>
      <c r="ER8" s="35"/>
      <c r="ES8" s="35"/>
      <c r="ET8" s="35"/>
      <c r="EU8" s="35"/>
      <c r="EV8" s="222">
        <f t="shared" si="0"/>
        <v>0</v>
      </c>
      <c r="EW8" s="222">
        <f t="shared" si="1"/>
        <v>0</v>
      </c>
    </row>
    <row r="9" spans="1:155">
      <c r="A9" s="128" t="s">
        <v>383</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71"/>
      <c r="AG9" s="371"/>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49"/>
      <c r="BO9" s="349"/>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49"/>
      <c r="EE9" s="349"/>
      <c r="EF9" s="35"/>
      <c r="EG9" s="35"/>
      <c r="EH9" s="349"/>
      <c r="EI9" s="349"/>
      <c r="EJ9" s="349"/>
      <c r="EK9" s="349"/>
      <c r="EL9" s="35"/>
      <c r="EM9" s="35"/>
      <c r="EN9" s="349"/>
      <c r="EO9" s="349"/>
      <c r="EP9" s="349"/>
      <c r="EQ9" s="349"/>
      <c r="ER9" s="35"/>
      <c r="ES9" s="35"/>
      <c r="ET9" s="35"/>
      <c r="EU9" s="35"/>
      <c r="EV9" s="222">
        <f t="shared" si="0"/>
        <v>0</v>
      </c>
      <c r="EW9" s="222">
        <f t="shared" si="1"/>
        <v>0</v>
      </c>
    </row>
    <row r="10" spans="1:155">
      <c r="A10" s="128" t="s">
        <v>384</v>
      </c>
      <c r="B10" s="35">
        <f>3327.588+330+27.6</f>
        <v>3685.1880000000001</v>
      </c>
      <c r="C10" s="35">
        <f>3309.676+330+27.6</f>
        <v>3667.2759999999998</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f>2757.13-130.337</f>
        <v>2626.7930000000001</v>
      </c>
      <c r="AC10" s="35">
        <f>2748.913-130.337</f>
        <v>2618.576</v>
      </c>
      <c r="AD10" s="35"/>
      <c r="AE10" s="35"/>
      <c r="AF10" s="371"/>
      <c r="AG10" s="371"/>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f>2769+9370.721</f>
        <v>12139.721</v>
      </c>
      <c r="BK10" s="35">
        <f>2702.954+9370.721</f>
        <v>12073.674999999999</v>
      </c>
      <c r="BL10" s="35"/>
      <c r="BM10" s="35"/>
      <c r="BN10" s="349"/>
      <c r="BO10" s="349"/>
      <c r="BP10" s="35">
        <f>29.17+130.337</f>
        <v>159.50700000000001</v>
      </c>
      <c r="BQ10" s="35">
        <f>29.17+130.337</f>
        <v>159.50700000000001</v>
      </c>
      <c r="BR10" s="35"/>
      <c r="BS10" s="35"/>
      <c r="BT10" s="35"/>
      <c r="BU10" s="35"/>
      <c r="BV10" s="35"/>
      <c r="BW10" s="35"/>
      <c r="BX10" s="35">
        <f>1679.535</f>
        <v>1679.5350000000001</v>
      </c>
      <c r="BY10" s="35">
        <v>1673.307</v>
      </c>
      <c r="BZ10" s="35">
        <f>114.94+3.506</f>
        <v>118.446</v>
      </c>
      <c r="CA10" s="35">
        <f>114.94+3</f>
        <v>117.94</v>
      </c>
      <c r="CB10" s="35">
        <f>180.699</f>
        <v>180.69900000000001</v>
      </c>
      <c r="CC10" s="35">
        <f>180.699</f>
        <v>180.69900000000001</v>
      </c>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v>490.27499999999998</v>
      </c>
      <c r="DG10" s="35">
        <v>490.27499999999998</v>
      </c>
      <c r="DH10" s="35"/>
      <c r="DI10" s="35"/>
      <c r="DJ10" s="35"/>
      <c r="DK10" s="35"/>
      <c r="DL10" s="35"/>
      <c r="DM10" s="35"/>
      <c r="DN10" s="35"/>
      <c r="DO10" s="35"/>
      <c r="DP10" s="35"/>
      <c r="DQ10" s="35"/>
      <c r="DR10" s="35"/>
      <c r="DS10" s="35"/>
      <c r="DT10" s="35"/>
      <c r="DU10" s="35"/>
      <c r="DV10" s="35"/>
      <c r="DW10" s="35"/>
      <c r="DX10" s="35"/>
      <c r="DY10" s="35"/>
      <c r="DZ10" s="35"/>
      <c r="EA10" s="35"/>
      <c r="EB10" s="35"/>
      <c r="EC10" s="35"/>
      <c r="ED10" s="349"/>
      <c r="EE10" s="349"/>
      <c r="EF10" s="35"/>
      <c r="EG10" s="35"/>
      <c r="EH10" s="349"/>
      <c r="EI10" s="349"/>
      <c r="EJ10" s="349"/>
      <c r="EK10" s="349"/>
      <c r="EL10" s="35"/>
      <c r="EM10" s="35"/>
      <c r="EN10" s="349"/>
      <c r="EO10" s="349"/>
      <c r="EP10" s="349"/>
      <c r="EQ10" s="349"/>
      <c r="ER10" s="35"/>
      <c r="ES10" s="35"/>
      <c r="ET10" s="35"/>
      <c r="EU10" s="35"/>
      <c r="EV10" s="222">
        <f t="shared" si="0"/>
        <v>21080.164000000001</v>
      </c>
      <c r="EW10" s="222">
        <f t="shared" si="1"/>
        <v>20981.255000000001</v>
      </c>
    </row>
    <row r="11" spans="1:155">
      <c r="A11" s="128" t="s">
        <v>407</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71"/>
      <c r="AG11" s="371"/>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49"/>
      <c r="BO11" s="349"/>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v>1242.5999999999999</v>
      </c>
      <c r="DC11" s="35">
        <v>1242.5999999999999</v>
      </c>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49"/>
      <c r="EE11" s="349"/>
      <c r="EF11" s="35"/>
      <c r="EG11" s="35"/>
      <c r="EH11" s="349"/>
      <c r="EI11" s="349"/>
      <c r="EJ11" s="349"/>
      <c r="EK11" s="349"/>
      <c r="EL11" s="35"/>
      <c r="EM11" s="35"/>
      <c r="EN11" s="349"/>
      <c r="EO11" s="349"/>
      <c r="EP11" s="349"/>
      <c r="EQ11" s="349"/>
      <c r="ER11" s="35"/>
      <c r="ES11" s="35"/>
      <c r="ET11" s="35"/>
      <c r="EU11" s="35"/>
      <c r="EV11" s="222">
        <f t="shared" si="0"/>
        <v>1242.5999999999999</v>
      </c>
      <c r="EW11" s="222">
        <f t="shared" si="1"/>
        <v>1242.5999999999999</v>
      </c>
    </row>
    <row r="12" spans="1:155">
      <c r="A12" s="128" t="s">
        <v>387</v>
      </c>
      <c r="B12" s="35"/>
      <c r="C12" s="35"/>
      <c r="D12" s="35"/>
      <c r="E12" s="35"/>
      <c r="F12" s="35"/>
      <c r="G12" s="35"/>
      <c r="H12" s="35"/>
      <c r="I12" s="35"/>
      <c r="J12" s="35"/>
      <c r="K12" s="35"/>
      <c r="L12" s="35">
        <v>211.04300000000001</v>
      </c>
      <c r="M12" s="35">
        <v>201.643</v>
      </c>
      <c r="N12" s="35"/>
      <c r="O12" s="35"/>
      <c r="P12" s="35"/>
      <c r="Q12" s="35"/>
      <c r="R12" s="35"/>
      <c r="S12" s="35"/>
      <c r="T12" s="35"/>
      <c r="U12" s="35"/>
      <c r="V12" s="35"/>
      <c r="W12" s="35"/>
      <c r="X12" s="35"/>
      <c r="Y12" s="35"/>
      <c r="Z12" s="35"/>
      <c r="AA12" s="35"/>
      <c r="AB12" s="35"/>
      <c r="AC12" s="35"/>
      <c r="AD12" s="35"/>
      <c r="AE12" s="35"/>
      <c r="AF12" s="371"/>
      <c r="AG12" s="371"/>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49"/>
      <c r="BO12" s="349"/>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49"/>
      <c r="EE12" s="349"/>
      <c r="EF12" s="35"/>
      <c r="EG12" s="35"/>
      <c r="EH12" s="349"/>
      <c r="EI12" s="349"/>
      <c r="EJ12" s="349"/>
      <c r="EK12" s="349"/>
      <c r="EL12" s="35"/>
      <c r="EM12" s="35"/>
      <c r="EN12" s="349"/>
      <c r="EO12" s="349"/>
      <c r="EP12" s="349"/>
      <c r="EQ12" s="349"/>
      <c r="ER12" s="35"/>
      <c r="ES12" s="35"/>
      <c r="ET12" s="35"/>
      <c r="EU12" s="35"/>
      <c r="EV12" s="222">
        <f t="shared" si="0"/>
        <v>211.04300000000001</v>
      </c>
      <c r="EW12" s="222">
        <f t="shared" si="1"/>
        <v>201.643</v>
      </c>
    </row>
    <row r="13" spans="1:155">
      <c r="A13" s="128" t="s">
        <v>408</v>
      </c>
      <c r="B13" s="35"/>
      <c r="C13" s="35"/>
      <c r="D13" s="35"/>
      <c r="E13" s="35"/>
      <c r="F13" s="35"/>
      <c r="G13" s="35"/>
      <c r="H13" s="35"/>
      <c r="I13" s="35"/>
      <c r="J13" s="35"/>
      <c r="K13" s="35"/>
      <c r="L13" s="35">
        <v>319.3</v>
      </c>
      <c r="M13" s="35">
        <v>319.3</v>
      </c>
      <c r="N13" s="35"/>
      <c r="O13" s="35"/>
      <c r="P13" s="35"/>
      <c r="Q13" s="35"/>
      <c r="R13" s="35"/>
      <c r="S13" s="35"/>
      <c r="T13" s="35"/>
      <c r="U13" s="35"/>
      <c r="V13" s="35"/>
      <c r="W13" s="35"/>
      <c r="X13" s="35"/>
      <c r="Y13" s="35"/>
      <c r="Z13" s="35"/>
      <c r="AA13" s="35"/>
      <c r="AB13" s="35"/>
      <c r="AC13" s="35"/>
      <c r="AD13" s="35"/>
      <c r="AE13" s="35"/>
      <c r="AF13" s="371"/>
      <c r="AG13" s="371"/>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49"/>
      <c r="BO13" s="349"/>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49"/>
      <c r="EE13" s="349"/>
      <c r="EF13" s="35"/>
      <c r="EG13" s="35"/>
      <c r="EH13" s="349"/>
      <c r="EI13" s="349"/>
      <c r="EJ13" s="349"/>
      <c r="EK13" s="349"/>
      <c r="EL13" s="35"/>
      <c r="EM13" s="35"/>
      <c r="EN13" s="349"/>
      <c r="EO13" s="349"/>
      <c r="EP13" s="349"/>
      <c r="EQ13" s="349"/>
      <c r="ER13" s="35"/>
      <c r="ES13" s="35"/>
      <c r="ET13" s="35"/>
      <c r="EU13" s="35"/>
      <c r="EV13" s="222">
        <f t="shared" si="0"/>
        <v>319.3</v>
      </c>
      <c r="EW13" s="222">
        <f t="shared" si="1"/>
        <v>319.3</v>
      </c>
    </row>
    <row r="14" spans="1:155">
      <c r="A14" s="128" t="s">
        <v>410</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1"/>
      <c r="AG14" s="371"/>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49"/>
      <c r="BO14" s="349"/>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49"/>
      <c r="EE14" s="349"/>
      <c r="EF14" s="35"/>
      <c r="EG14" s="35"/>
      <c r="EH14" s="349"/>
      <c r="EI14" s="349"/>
      <c r="EJ14" s="349"/>
      <c r="EK14" s="349"/>
      <c r="EL14" s="35"/>
      <c r="EM14" s="35"/>
      <c r="EN14" s="349"/>
      <c r="EO14" s="349"/>
      <c r="EP14" s="349"/>
      <c r="EQ14" s="349"/>
      <c r="ER14" s="35"/>
      <c r="ES14" s="35"/>
      <c r="ET14" s="35"/>
      <c r="EU14" s="35"/>
      <c r="EV14" s="222">
        <f t="shared" si="0"/>
        <v>0</v>
      </c>
      <c r="EW14" s="222">
        <f t="shared" si="1"/>
        <v>0</v>
      </c>
    </row>
    <row r="15" spans="1:155">
      <c r="A15" s="128" t="s">
        <v>389</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71"/>
      <c r="AG15" s="371"/>
      <c r="AH15" s="35"/>
      <c r="AI15" s="35"/>
      <c r="AJ15" s="35">
        <v>263.44200000000001</v>
      </c>
      <c r="AK15" s="35">
        <v>216.988</v>
      </c>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49"/>
      <c r="BO15" s="349"/>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f>6670.741+430+404.475+82.844+802.681+21689+4442.325+1743.46</f>
        <v>36265.525999999998</v>
      </c>
      <c r="DU15" s="35">
        <f>6666.711+430+404.475+82.844+802.681+21689+4442.325+1726.62</f>
        <v>36244.656000000003</v>
      </c>
      <c r="DV15" s="35"/>
      <c r="DW15" s="35"/>
      <c r="DX15" s="35"/>
      <c r="DY15" s="35"/>
      <c r="DZ15" s="35"/>
      <c r="EA15" s="35"/>
      <c r="EB15" s="35"/>
      <c r="EC15" s="35"/>
      <c r="ED15" s="349"/>
      <c r="EE15" s="349"/>
      <c r="EF15" s="35"/>
      <c r="EG15" s="35"/>
      <c r="EH15" s="349"/>
      <c r="EI15" s="349"/>
      <c r="EJ15" s="349"/>
      <c r="EK15" s="349"/>
      <c r="EL15" s="35">
        <v>40</v>
      </c>
      <c r="EM15" s="35">
        <v>40</v>
      </c>
      <c r="EN15" s="349">
        <v>63.503999999999998</v>
      </c>
      <c r="EO15" s="349">
        <v>63.503999999999998</v>
      </c>
      <c r="EP15" s="349"/>
      <c r="EQ15" s="349"/>
      <c r="ER15" s="35"/>
      <c r="ES15" s="35"/>
      <c r="ET15" s="35"/>
      <c r="EU15" s="35"/>
      <c r="EV15" s="222">
        <f t="shared" si="0"/>
        <v>36568.968000000001</v>
      </c>
      <c r="EW15" s="222">
        <f t="shared" si="1"/>
        <v>36501.644</v>
      </c>
      <c r="EX15" s="375">
        <f>DT15+EL15+EN15</f>
        <v>36369.03</v>
      </c>
      <c r="EY15" s="375">
        <f>DU15+EM15+EO15</f>
        <v>36348.160000000003</v>
      </c>
    </row>
    <row r="16" spans="1:155">
      <c r="A16" s="128" t="s">
        <v>390</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71"/>
      <c r="AG16" s="371"/>
      <c r="AH16" s="35">
        <v>827.76700000000005</v>
      </c>
      <c r="AI16" s="35">
        <v>825.83299999999997</v>
      </c>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49"/>
      <c r="BO16" s="349"/>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49"/>
      <c r="EE16" s="349"/>
      <c r="EF16" s="35"/>
      <c r="EG16" s="35"/>
      <c r="EH16" s="349"/>
      <c r="EI16" s="349"/>
      <c r="EJ16" s="349"/>
      <c r="EK16" s="349"/>
      <c r="EL16" s="35"/>
      <c r="EM16" s="35"/>
      <c r="EN16" s="349"/>
      <c r="EO16" s="349"/>
      <c r="EP16" s="349"/>
      <c r="EQ16" s="349"/>
      <c r="ER16" s="35"/>
      <c r="ES16" s="35"/>
      <c r="ET16" s="35"/>
      <c r="EU16" s="35"/>
      <c r="EV16" s="222">
        <f t="shared" si="0"/>
        <v>827.76700000000005</v>
      </c>
      <c r="EW16" s="222">
        <f t="shared" si="1"/>
        <v>825.83299999999997</v>
      </c>
    </row>
    <row r="17" spans="1:155">
      <c r="A17" s="128" t="s">
        <v>391</v>
      </c>
      <c r="B17" s="35"/>
      <c r="C17" s="35"/>
      <c r="D17" s="35"/>
      <c r="E17" s="35"/>
      <c r="F17" s="35"/>
      <c r="G17" s="35"/>
      <c r="H17" s="35">
        <v>2763.0720000000001</v>
      </c>
      <c r="I17" s="35">
        <v>2763.0720000000001</v>
      </c>
      <c r="J17" s="35">
        <v>3205.1729999999998</v>
      </c>
      <c r="K17" s="35">
        <v>3205.1729999999998</v>
      </c>
      <c r="L17" s="35"/>
      <c r="M17" s="35"/>
      <c r="N17" s="35"/>
      <c r="O17" s="35"/>
      <c r="P17" s="35"/>
      <c r="Q17" s="35"/>
      <c r="R17" s="35"/>
      <c r="S17" s="35"/>
      <c r="T17" s="35"/>
      <c r="U17" s="35"/>
      <c r="V17" s="35"/>
      <c r="W17" s="35"/>
      <c r="X17" s="35"/>
      <c r="Y17" s="35"/>
      <c r="Z17" s="35"/>
      <c r="AA17" s="35"/>
      <c r="AB17" s="35"/>
      <c r="AC17" s="35"/>
      <c r="AD17" s="35"/>
      <c r="AE17" s="35"/>
      <c r="AF17" s="371"/>
      <c r="AG17" s="371"/>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49"/>
      <c r="BO17" s="349"/>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v>18666.667000000001</v>
      </c>
      <c r="DO17" s="35">
        <v>18666.667000000001</v>
      </c>
      <c r="DP17" s="35"/>
      <c r="DQ17" s="35"/>
      <c r="DR17" s="35"/>
      <c r="DS17" s="35"/>
      <c r="DT17" s="35"/>
      <c r="DU17" s="35"/>
      <c r="DV17" s="35"/>
      <c r="DW17" s="35"/>
      <c r="DX17" s="35"/>
      <c r="DY17" s="35"/>
      <c r="DZ17" s="35"/>
      <c r="EA17" s="35"/>
      <c r="EB17" s="35"/>
      <c r="EC17" s="35"/>
      <c r="ED17" s="349"/>
      <c r="EE17" s="349"/>
      <c r="EF17" s="35"/>
      <c r="EG17" s="35"/>
      <c r="EH17" s="349"/>
      <c r="EI17" s="349"/>
      <c r="EJ17" s="349"/>
      <c r="EK17" s="349"/>
      <c r="EL17" s="35"/>
      <c r="EM17" s="35"/>
      <c r="EN17" s="349"/>
      <c r="EO17" s="349"/>
      <c r="EP17" s="349"/>
      <c r="EQ17" s="349"/>
      <c r="ER17" s="35"/>
      <c r="ES17" s="35"/>
      <c r="ET17" s="35"/>
      <c r="EU17" s="35"/>
      <c r="EV17" s="222">
        <f t="shared" si="0"/>
        <v>24634.912</v>
      </c>
      <c r="EW17" s="222">
        <f t="shared" si="1"/>
        <v>24634.912</v>
      </c>
    </row>
    <row r="18" spans="1:155">
      <c r="A18" s="128" t="s">
        <v>392</v>
      </c>
      <c r="B18" s="35"/>
      <c r="C18" s="35"/>
      <c r="D18" s="35"/>
      <c r="E18" s="35"/>
      <c r="F18" s="35">
        <v>3284.4290000000001</v>
      </c>
      <c r="G18" s="35">
        <v>2793.1869999999999</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71"/>
      <c r="AG18" s="371"/>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49"/>
      <c r="BO18" s="349"/>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v>52666.076999999997</v>
      </c>
      <c r="DK18" s="35">
        <v>52665.917000000001</v>
      </c>
      <c r="DL18" s="35"/>
      <c r="DM18" s="35"/>
      <c r="DN18" s="35"/>
      <c r="DO18" s="35"/>
      <c r="DP18" s="35"/>
      <c r="DQ18" s="35"/>
      <c r="DR18" s="35"/>
      <c r="DS18" s="35"/>
      <c r="DT18" s="35"/>
      <c r="DU18" s="35"/>
      <c r="DV18" s="35"/>
      <c r="DW18" s="35"/>
      <c r="DX18" s="35"/>
      <c r="DY18" s="35"/>
      <c r="DZ18" s="35"/>
      <c r="EA18" s="35"/>
      <c r="EB18" s="35"/>
      <c r="EC18" s="35"/>
      <c r="ED18" s="349"/>
      <c r="EE18" s="349"/>
      <c r="EF18" s="35"/>
      <c r="EG18" s="35"/>
      <c r="EH18" s="349"/>
      <c r="EI18" s="349"/>
      <c r="EJ18" s="349"/>
      <c r="EK18" s="349"/>
      <c r="EL18" s="35"/>
      <c r="EM18" s="35"/>
      <c r="EN18" s="349"/>
      <c r="EO18" s="349"/>
      <c r="EP18" s="349"/>
      <c r="EQ18" s="349"/>
      <c r="ER18" s="35"/>
      <c r="ES18" s="35"/>
      <c r="ET18" s="35"/>
      <c r="EU18" s="35"/>
      <c r="EV18" s="222">
        <f t="shared" si="0"/>
        <v>55950.505999999994</v>
      </c>
      <c r="EW18" s="222">
        <f t="shared" si="1"/>
        <v>55459.103999999999</v>
      </c>
    </row>
    <row r="19" spans="1:155">
      <c r="A19" s="128" t="s">
        <v>766</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71"/>
      <c r="AG19" s="371"/>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49"/>
      <c r="BO19" s="349"/>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v>1500</v>
      </c>
      <c r="DU19" s="35">
        <v>1464.84</v>
      </c>
      <c r="DV19" s="35"/>
      <c r="DW19" s="35"/>
      <c r="DX19" s="35"/>
      <c r="DY19" s="35"/>
      <c r="DZ19" s="35"/>
      <c r="EA19" s="35"/>
      <c r="EB19" s="35"/>
      <c r="EC19" s="35"/>
      <c r="ED19" s="349"/>
      <c r="EE19" s="349"/>
      <c r="EF19" s="35"/>
      <c r="EG19" s="35"/>
      <c r="EH19" s="349"/>
      <c r="EI19" s="349"/>
      <c r="EJ19" s="349"/>
      <c r="EK19" s="349"/>
      <c r="EL19" s="35"/>
      <c r="EM19" s="35"/>
      <c r="EN19" s="349"/>
      <c r="EO19" s="349"/>
      <c r="EP19" s="349"/>
      <c r="EQ19" s="349"/>
      <c r="ER19" s="35"/>
      <c r="ES19" s="35"/>
      <c r="ET19" s="35"/>
      <c r="EU19" s="35"/>
      <c r="EV19" s="222">
        <f t="shared" si="0"/>
        <v>1500</v>
      </c>
      <c r="EW19" s="222">
        <f t="shared" si="1"/>
        <v>1464.84</v>
      </c>
    </row>
    <row r="20" spans="1:155">
      <c r="A20" s="128" t="s">
        <v>394</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71"/>
      <c r="AG20" s="371"/>
      <c r="AH20" s="35"/>
      <c r="AI20" s="35"/>
      <c r="AJ20" s="35"/>
      <c r="AK20" s="35"/>
      <c r="AL20" s="35">
        <f>53.819+929.526+103.281</f>
        <v>1086.626</v>
      </c>
      <c r="AM20" s="35">
        <f>53.819+929.526+103.281</f>
        <v>1086.626</v>
      </c>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49"/>
      <c r="BO20" s="349"/>
      <c r="BP20" s="35"/>
      <c r="BQ20" s="35"/>
      <c r="BR20" s="35"/>
      <c r="BS20" s="35"/>
      <c r="BT20" s="35">
        <f>101.8+196.2+83.475</f>
        <v>381.47500000000002</v>
      </c>
      <c r="BU20" s="35">
        <f>101.8+196.2+83.475</f>
        <v>381.47500000000002</v>
      </c>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49"/>
      <c r="EE20" s="349"/>
      <c r="EF20" s="35"/>
      <c r="EG20" s="35"/>
      <c r="EH20" s="349">
        <f>1800+1800</f>
        <v>3600</v>
      </c>
      <c r="EI20" s="349">
        <v>0</v>
      </c>
      <c r="EJ20" s="349"/>
      <c r="EK20" s="349"/>
      <c r="EL20" s="35"/>
      <c r="EM20" s="35"/>
      <c r="EN20" s="349"/>
      <c r="EO20" s="349"/>
      <c r="EP20" s="349">
        <v>54.9</v>
      </c>
      <c r="EQ20" s="349">
        <v>54.9</v>
      </c>
      <c r="ER20" s="35"/>
      <c r="ES20" s="35"/>
      <c r="ET20" s="35"/>
      <c r="EU20" s="35"/>
      <c r="EV20" s="222">
        <f t="shared" si="0"/>
        <v>1468.1010000000001</v>
      </c>
      <c r="EW20" s="222">
        <f t="shared" si="1"/>
        <v>1468.1010000000001</v>
      </c>
    </row>
    <row r="21" spans="1:155">
      <c r="A21" s="128" t="s">
        <v>409</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71"/>
      <c r="AG21" s="371"/>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49"/>
      <c r="BO21" s="349"/>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v>298.64400000000001</v>
      </c>
      <c r="DM21" s="35">
        <v>298.64400000000001</v>
      </c>
      <c r="DN21" s="35"/>
      <c r="DO21" s="35"/>
      <c r="DP21" s="35"/>
      <c r="DQ21" s="35"/>
      <c r="DR21" s="35"/>
      <c r="DS21" s="35"/>
      <c r="DT21" s="35"/>
      <c r="DU21" s="35"/>
      <c r="DV21" s="35"/>
      <c r="DW21" s="35"/>
      <c r="DX21" s="35"/>
      <c r="DY21" s="35"/>
      <c r="DZ21" s="35"/>
      <c r="EA21" s="35"/>
      <c r="EB21" s="35"/>
      <c r="EC21" s="35"/>
      <c r="ED21" s="349"/>
      <c r="EE21" s="349"/>
      <c r="EF21" s="35"/>
      <c r="EG21" s="35"/>
      <c r="EH21" s="349"/>
      <c r="EI21" s="349"/>
      <c r="EJ21" s="349"/>
      <c r="EK21" s="349"/>
      <c r="EL21" s="35"/>
      <c r="EM21" s="35"/>
      <c r="EN21" s="349"/>
      <c r="EO21" s="349"/>
      <c r="EP21" s="349"/>
      <c r="EQ21" s="349"/>
      <c r="ER21" s="35"/>
      <c r="ES21" s="35"/>
      <c r="ET21" s="35"/>
      <c r="EU21" s="35"/>
      <c r="EV21" s="222">
        <f t="shared" si="0"/>
        <v>298.64400000000001</v>
      </c>
      <c r="EW21" s="222">
        <f t="shared" si="1"/>
        <v>298.64400000000001</v>
      </c>
    </row>
    <row r="22" spans="1:155">
      <c r="A22" s="128" t="s">
        <v>395</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71"/>
      <c r="AG22" s="371"/>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49"/>
      <c r="BO22" s="349"/>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v>114565.374</v>
      </c>
      <c r="DI22" s="35">
        <v>108249.48699999999</v>
      </c>
      <c r="DJ22" s="35"/>
      <c r="DK22" s="35"/>
      <c r="DL22" s="35"/>
      <c r="DM22" s="35"/>
      <c r="DN22" s="35"/>
      <c r="DO22" s="35"/>
      <c r="DP22" s="35"/>
      <c r="DQ22" s="35"/>
      <c r="DR22" s="35"/>
      <c r="DS22" s="35"/>
      <c r="DT22" s="35"/>
      <c r="DU22" s="35"/>
      <c r="DV22" s="35"/>
      <c r="DW22" s="35"/>
      <c r="DX22" s="35"/>
      <c r="DY22" s="35"/>
      <c r="DZ22" s="35"/>
      <c r="EA22" s="35"/>
      <c r="EB22" s="35"/>
      <c r="EC22" s="35"/>
      <c r="ED22" s="349"/>
      <c r="EE22" s="349"/>
      <c r="EF22" s="35"/>
      <c r="EG22" s="35"/>
      <c r="EH22" s="349"/>
      <c r="EI22" s="349"/>
      <c r="EJ22" s="349"/>
      <c r="EK22" s="349"/>
      <c r="EL22" s="35"/>
      <c r="EM22" s="35"/>
      <c r="EN22" s="349"/>
      <c r="EO22" s="349"/>
      <c r="EP22" s="349"/>
      <c r="EQ22" s="349"/>
      <c r="ER22" s="35"/>
      <c r="ES22" s="35"/>
      <c r="ET22" s="35"/>
      <c r="EU22" s="35"/>
      <c r="EV22" s="222">
        <f t="shared" si="0"/>
        <v>114565.374</v>
      </c>
      <c r="EW22" s="222">
        <f t="shared" si="1"/>
        <v>108249.48699999999</v>
      </c>
    </row>
    <row r="23" spans="1:155">
      <c r="A23" s="128" t="s">
        <v>396</v>
      </c>
      <c r="B23" s="35"/>
      <c r="C23" s="35"/>
      <c r="D23" s="35"/>
      <c r="E23" s="35"/>
      <c r="F23" s="35"/>
      <c r="G23" s="35"/>
      <c r="H23" s="35"/>
      <c r="I23" s="35"/>
      <c r="J23" s="35"/>
      <c r="K23" s="35"/>
      <c r="L23" s="35"/>
      <c r="M23" s="35"/>
      <c r="N23" s="35"/>
      <c r="O23" s="35"/>
      <c r="P23" s="35"/>
      <c r="Q23" s="35"/>
      <c r="R23" s="35"/>
      <c r="S23" s="35"/>
      <c r="T23" s="35"/>
      <c r="U23" s="35"/>
      <c r="V23" s="35"/>
      <c r="W23" s="35"/>
      <c r="X23" s="35"/>
      <c r="Y23" s="35"/>
      <c r="Z23" s="35">
        <v>6892.1</v>
      </c>
      <c r="AA23" s="35">
        <v>2733.7</v>
      </c>
      <c r="AB23" s="35"/>
      <c r="AC23" s="35"/>
      <c r="AD23" s="35"/>
      <c r="AE23" s="35"/>
      <c r="AF23" s="371"/>
      <c r="AG23" s="371"/>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49"/>
      <c r="BO23" s="349"/>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49">
        <f>2164.5+500+2164.5</f>
        <v>4829</v>
      </c>
      <c r="EE23" s="349">
        <f>2164.5+500+2102.389</f>
        <v>4766.8890000000001</v>
      </c>
      <c r="EF23" s="35">
        <f>1058.816+155+112.712+4161.058+100+45+672.889+21756.821+365</f>
        <v>28427.296000000002</v>
      </c>
      <c r="EG23" s="35">
        <f>1000.661+155+112.712+4161.058+100+45+672.889+21756.821+365</f>
        <v>28369.141</v>
      </c>
      <c r="EH23" s="349"/>
      <c r="EI23" s="349"/>
      <c r="EJ23" s="349">
        <f>724.228+328.656+194.5</f>
        <v>1247.384</v>
      </c>
      <c r="EK23" s="349">
        <f>724.228+328.656+194.5</f>
        <v>1247.384</v>
      </c>
      <c r="EL23" s="35"/>
      <c r="EM23" s="35"/>
      <c r="EN23" s="349"/>
      <c r="EO23" s="349"/>
      <c r="EP23" s="349"/>
      <c r="EQ23" s="349"/>
      <c r="ER23" s="35"/>
      <c r="ES23" s="35"/>
      <c r="ET23" s="35"/>
      <c r="EU23" s="35"/>
      <c r="EV23" s="222">
        <f t="shared" si="0"/>
        <v>35319.396000000001</v>
      </c>
      <c r="EW23" s="222">
        <f t="shared" si="1"/>
        <v>31102.841</v>
      </c>
      <c r="EX23" s="375">
        <f>ED23+EF23+EJ23</f>
        <v>34503.68</v>
      </c>
      <c r="EY23" s="375">
        <f>EE23+EG23+EK23</f>
        <v>34383.413999999997</v>
      </c>
    </row>
    <row r="24" spans="1:155" hidden="1">
      <c r="A24" s="128" t="s">
        <v>505</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71"/>
      <c r="AG24" s="371"/>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49"/>
      <c r="BO24" s="349"/>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49"/>
      <c r="EE24" s="349"/>
      <c r="EF24" s="35"/>
      <c r="EG24" s="35"/>
      <c r="EH24" s="349"/>
      <c r="EI24" s="349"/>
      <c r="EJ24" s="349"/>
      <c r="EK24" s="349"/>
      <c r="EL24" s="35"/>
      <c r="EM24" s="35"/>
      <c r="EN24" s="349"/>
      <c r="EO24" s="349"/>
      <c r="EP24" s="349"/>
      <c r="EQ24" s="349"/>
      <c r="ER24" s="35"/>
      <c r="ES24" s="35"/>
      <c r="ET24" s="35"/>
      <c r="EU24" s="35"/>
      <c r="EV24" s="222">
        <f t="shared" si="0"/>
        <v>0</v>
      </c>
      <c r="EW24" s="222">
        <f t="shared" si="1"/>
        <v>0</v>
      </c>
    </row>
    <row r="25" spans="1:155">
      <c r="A25" s="128" t="s">
        <v>397</v>
      </c>
      <c r="B25" s="35"/>
      <c r="C25" s="35"/>
      <c r="D25" s="35"/>
      <c r="E25" s="35"/>
      <c r="F25" s="35"/>
      <c r="G25" s="35"/>
      <c r="H25" s="35"/>
      <c r="I25" s="35"/>
      <c r="J25" s="35"/>
      <c r="K25" s="35"/>
      <c r="L25" s="35"/>
      <c r="M25" s="35"/>
      <c r="N25" s="35">
        <f>108037.239-1493.861</f>
        <v>106543.378</v>
      </c>
      <c r="O25" s="35">
        <f>108018.239-1493.861</f>
        <v>106524.378</v>
      </c>
      <c r="P25" s="35"/>
      <c r="Q25" s="35"/>
      <c r="R25" s="35"/>
      <c r="S25" s="35"/>
      <c r="T25" s="35"/>
      <c r="U25" s="35"/>
      <c r="V25" s="35"/>
      <c r="W25" s="35"/>
      <c r="X25" s="35"/>
      <c r="Y25" s="35"/>
      <c r="Z25" s="35"/>
      <c r="AA25" s="35"/>
      <c r="AB25" s="35"/>
      <c r="AC25" s="35"/>
      <c r="AD25" s="35"/>
      <c r="AE25" s="35"/>
      <c r="AF25" s="371"/>
      <c r="AG25" s="371"/>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49"/>
      <c r="BO25" s="349"/>
      <c r="BP25" s="35">
        <v>1493.8610000000001</v>
      </c>
      <c r="BQ25" s="35">
        <v>1493.8610000000001</v>
      </c>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49"/>
      <c r="EE25" s="349"/>
      <c r="EF25" s="35"/>
      <c r="EG25" s="35"/>
      <c r="EH25" s="349"/>
      <c r="EI25" s="349"/>
      <c r="EJ25" s="349"/>
      <c r="EK25" s="349"/>
      <c r="EL25" s="35"/>
      <c r="EM25" s="35"/>
      <c r="EN25" s="349"/>
      <c r="EO25" s="349"/>
      <c r="EP25" s="349"/>
      <c r="EQ25" s="349"/>
      <c r="ER25" s="35"/>
      <c r="ES25" s="35"/>
      <c r="ET25" s="35"/>
      <c r="EU25" s="35"/>
      <c r="EV25" s="222">
        <f t="shared" si="0"/>
        <v>108037.239</v>
      </c>
      <c r="EW25" s="222">
        <f t="shared" si="1"/>
        <v>108018.239</v>
      </c>
    </row>
    <row r="26" spans="1:155">
      <c r="A26" s="128" t="s">
        <v>398</v>
      </c>
      <c r="B26" s="35"/>
      <c r="C26" s="35"/>
      <c r="D26" s="35"/>
      <c r="E26" s="35"/>
      <c r="F26" s="35"/>
      <c r="G26" s="35"/>
      <c r="H26" s="35"/>
      <c r="I26" s="35"/>
      <c r="J26" s="35"/>
      <c r="K26" s="35"/>
      <c r="L26" s="35"/>
      <c r="M26" s="35"/>
      <c r="N26" s="35">
        <v>31064.346000000001</v>
      </c>
      <c r="O26" s="35">
        <v>30980.948</v>
      </c>
      <c r="P26" s="35">
        <f>4119.243+863.7+1123.1+618+1040.4+1457.919+45.0905+1193.3845+36.909+2.625+120.778+472.564+21816.468+6207.928+739.994+85.7+26.297</f>
        <v>39970.099999999991</v>
      </c>
      <c r="Q26" s="35">
        <f>3576.794+863.7+960+443+954.02+1457.919+45.0905+1193.3845+36.909+2.625+120.778+472.564+21813.301+2133.926+739.994+85.7+26.297</f>
        <v>34926.001999999993</v>
      </c>
      <c r="R26" s="35">
        <f>3144.157+283.1+851+45+238+945+1+1646.663+50.9285+989.2125+30.594+43530.122+7289.561+637.318+93.1+79.88+99.999</f>
        <v>59954.635000000002</v>
      </c>
      <c r="S26" s="35">
        <f>2922.949+120+676+45+218+945+1+1646.663+50.9285+989.2125+30.594+43497.622+7289.561+637.318+93.1+79.88+99.999</f>
        <v>59342.827000000005</v>
      </c>
      <c r="T26" s="35"/>
      <c r="U26" s="35"/>
      <c r="V26" s="35"/>
      <c r="W26" s="35"/>
      <c r="X26" s="35"/>
      <c r="Y26" s="35"/>
      <c r="Z26" s="35"/>
      <c r="AA26" s="35"/>
      <c r="AB26" s="35"/>
      <c r="AC26" s="35"/>
      <c r="AD26" s="35"/>
      <c r="AE26" s="35"/>
      <c r="AF26" s="371"/>
      <c r="AG26" s="371"/>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49"/>
      <c r="BO26" s="349"/>
      <c r="BP26" s="35">
        <v>3611.6010000000001</v>
      </c>
      <c r="BQ26" s="35">
        <v>3609.7869999999998</v>
      </c>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49"/>
      <c r="EE26" s="349"/>
      <c r="EF26" s="35"/>
      <c r="EG26" s="35"/>
      <c r="EH26" s="349"/>
      <c r="EI26" s="349"/>
      <c r="EJ26" s="349"/>
      <c r="EK26" s="349"/>
      <c r="EL26" s="35"/>
      <c r="EM26" s="35"/>
      <c r="EN26" s="349"/>
      <c r="EO26" s="349"/>
      <c r="EP26" s="349"/>
      <c r="EQ26" s="349"/>
      <c r="ER26" s="35"/>
      <c r="ES26" s="35"/>
      <c r="ET26" s="35"/>
      <c r="EU26" s="35"/>
      <c r="EV26" s="222">
        <f t="shared" si="0"/>
        <v>134600.682</v>
      </c>
      <c r="EW26" s="222">
        <f t="shared" si="1"/>
        <v>128859.564</v>
      </c>
    </row>
    <row r="27" spans="1:155">
      <c r="A27" s="128" t="s">
        <v>454</v>
      </c>
      <c r="B27" s="35"/>
      <c r="C27" s="35"/>
      <c r="D27" s="35"/>
      <c r="E27" s="35"/>
      <c r="F27" s="35"/>
      <c r="G27" s="35"/>
      <c r="H27" s="35"/>
      <c r="I27" s="35"/>
      <c r="J27" s="35"/>
      <c r="K27" s="35"/>
      <c r="L27" s="35"/>
      <c r="M27" s="35"/>
      <c r="N27" s="35"/>
      <c r="O27" s="35"/>
      <c r="P27" s="35"/>
      <c r="Q27" s="35"/>
      <c r="R27" s="35"/>
      <c r="S27" s="35"/>
      <c r="T27" s="35">
        <f>84069.176-917.83-504.8</f>
        <v>82646.546000000002</v>
      </c>
      <c r="U27" s="35">
        <f>82040.571-909.796-504.8</f>
        <v>80625.974999999991</v>
      </c>
      <c r="V27" s="35"/>
      <c r="W27" s="35"/>
      <c r="X27" s="35">
        <v>504.8</v>
      </c>
      <c r="Y27" s="35">
        <v>504.8</v>
      </c>
      <c r="Z27" s="35"/>
      <c r="AA27" s="35"/>
      <c r="AB27" s="35"/>
      <c r="AC27" s="35"/>
      <c r="AD27" s="35"/>
      <c r="AE27" s="35"/>
      <c r="AF27" s="371"/>
      <c r="AG27" s="371"/>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49"/>
      <c r="BO27" s="349"/>
      <c r="BP27" s="35">
        <v>917.83</v>
      </c>
      <c r="BQ27" s="35">
        <v>909.79600000000005</v>
      </c>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49"/>
      <c r="EE27" s="349"/>
      <c r="EF27" s="35"/>
      <c r="EG27" s="35"/>
      <c r="EH27" s="349"/>
      <c r="EI27" s="349"/>
      <c r="EJ27" s="349"/>
      <c r="EK27" s="349"/>
      <c r="EL27" s="35"/>
      <c r="EM27" s="35"/>
      <c r="EN27" s="349"/>
      <c r="EO27" s="349"/>
      <c r="EP27" s="349"/>
      <c r="EQ27" s="349"/>
      <c r="ER27" s="35"/>
      <c r="ES27" s="35"/>
      <c r="ET27" s="35"/>
      <c r="EU27" s="35"/>
      <c r="EV27" s="222">
        <f t="shared" si="0"/>
        <v>84069.176000000007</v>
      </c>
      <c r="EW27" s="222">
        <f t="shared" si="1"/>
        <v>82040.570999999996</v>
      </c>
    </row>
    <row r="28" spans="1:155" s="350" customFormat="1">
      <c r="A28" s="370" t="s">
        <v>1115</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71"/>
      <c r="AG28" s="371"/>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c r="BJ28" s="349"/>
      <c r="BK28" s="349"/>
      <c r="BL28" s="349"/>
      <c r="BM28" s="349"/>
      <c r="BN28" s="349">
        <v>895.06500000000005</v>
      </c>
      <c r="BO28" s="349">
        <v>895.06500000000005</v>
      </c>
      <c r="BP28" s="349"/>
      <c r="BQ28" s="349"/>
      <c r="BR28" s="349"/>
      <c r="BS28" s="349"/>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349"/>
      <c r="DL28" s="349"/>
      <c r="DM28" s="349"/>
      <c r="DN28" s="349"/>
      <c r="DO28" s="349"/>
      <c r="DP28" s="349"/>
      <c r="DQ28" s="349"/>
      <c r="DR28" s="349"/>
      <c r="DS28" s="349"/>
      <c r="DT28" s="349"/>
      <c r="DU28" s="349"/>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222">
        <f t="shared" si="0"/>
        <v>895.06500000000005</v>
      </c>
      <c r="EW28" s="222">
        <f t="shared" si="1"/>
        <v>895.06500000000005</v>
      </c>
      <c r="EX28" s="376"/>
      <c r="EY28" s="376"/>
    </row>
    <row r="29" spans="1:155">
      <c r="A29" s="128" t="s">
        <v>399</v>
      </c>
      <c r="B29" s="35"/>
      <c r="C29" s="35"/>
      <c r="D29" s="35"/>
      <c r="E29" s="35"/>
      <c r="F29" s="35"/>
      <c r="G29" s="35"/>
      <c r="H29" s="35"/>
      <c r="I29" s="35"/>
      <c r="J29" s="35"/>
      <c r="K29" s="35"/>
      <c r="L29" s="35"/>
      <c r="M29" s="35"/>
      <c r="N29" s="35"/>
      <c r="O29" s="35"/>
      <c r="P29" s="35"/>
      <c r="Q29" s="35"/>
      <c r="R29" s="35"/>
      <c r="S29" s="35"/>
      <c r="T29" s="35"/>
      <c r="U29" s="35"/>
      <c r="V29" s="35">
        <f>4729.3+2849.801</f>
        <v>7579.1010000000006</v>
      </c>
      <c r="W29" s="35">
        <f>4729.263+2849.801</f>
        <v>7579.0640000000003</v>
      </c>
      <c r="X29" s="35"/>
      <c r="Y29" s="35"/>
      <c r="Z29" s="35"/>
      <c r="AA29" s="35"/>
      <c r="AB29" s="35"/>
      <c r="AC29" s="35"/>
      <c r="AD29" s="35"/>
      <c r="AE29" s="35"/>
      <c r="AF29" s="371"/>
      <c r="AG29" s="371"/>
      <c r="AH29" s="35"/>
      <c r="AI29" s="35"/>
      <c r="AJ29" s="35"/>
      <c r="AK29" s="35"/>
      <c r="AL29" s="35"/>
      <c r="AM29" s="35"/>
      <c r="AN29" s="35"/>
      <c r="AO29" s="35"/>
      <c r="AP29" s="35"/>
      <c r="AQ29" s="35"/>
      <c r="AR29" s="35">
        <v>300</v>
      </c>
      <c r="AS29" s="35">
        <v>300</v>
      </c>
      <c r="AT29" s="35"/>
      <c r="AU29" s="35"/>
      <c r="AV29" s="35"/>
      <c r="AW29" s="35"/>
      <c r="AX29" s="35"/>
      <c r="AY29" s="35"/>
      <c r="AZ29" s="35"/>
      <c r="BA29" s="35"/>
      <c r="BB29" s="35"/>
      <c r="BC29" s="35"/>
      <c r="BD29" s="35"/>
      <c r="BE29" s="35"/>
      <c r="BF29" s="35"/>
      <c r="BG29" s="35"/>
      <c r="BH29" s="35"/>
      <c r="BI29" s="35"/>
      <c r="BJ29" s="35"/>
      <c r="BK29" s="35"/>
      <c r="BL29" s="35"/>
      <c r="BM29" s="35"/>
      <c r="BN29" s="349"/>
      <c r="BO29" s="349"/>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49"/>
      <c r="EE29" s="349"/>
      <c r="EF29" s="35"/>
      <c r="EG29" s="35"/>
      <c r="EH29" s="349"/>
      <c r="EI29" s="349"/>
      <c r="EJ29" s="349"/>
      <c r="EK29" s="349"/>
      <c r="EL29" s="35"/>
      <c r="EM29" s="35"/>
      <c r="EN29" s="349"/>
      <c r="EO29" s="349"/>
      <c r="EP29" s="349"/>
      <c r="EQ29" s="349"/>
      <c r="ER29" s="35"/>
      <c r="ES29" s="35"/>
      <c r="ET29" s="35"/>
      <c r="EU29" s="35"/>
      <c r="EV29" s="222">
        <f t="shared" si="0"/>
        <v>7879.1010000000006</v>
      </c>
      <c r="EW29" s="222">
        <f t="shared" si="1"/>
        <v>7879.0640000000003</v>
      </c>
    </row>
    <row r="30" spans="1:155">
      <c r="A30" s="128" t="s">
        <v>400</v>
      </c>
      <c r="B30" s="35"/>
      <c r="C30" s="35"/>
      <c r="D30" s="35"/>
      <c r="E30" s="35"/>
      <c r="F30" s="35"/>
      <c r="G30" s="35"/>
      <c r="H30" s="35"/>
      <c r="I30" s="35"/>
      <c r="J30" s="35"/>
      <c r="K30" s="35"/>
      <c r="L30" s="35"/>
      <c r="M30" s="35"/>
      <c r="N30" s="35"/>
      <c r="O30" s="35"/>
      <c r="P30" s="35"/>
      <c r="Q30" s="35"/>
      <c r="R30" s="35"/>
      <c r="S30" s="35"/>
      <c r="T30" s="35"/>
      <c r="U30" s="35"/>
      <c r="V30" s="35"/>
      <c r="W30" s="35"/>
      <c r="X30" s="35">
        <f>7.245+319.4</f>
        <v>326.64499999999998</v>
      </c>
      <c r="Y30" s="35">
        <f>7.245+319.4</f>
        <v>326.64499999999998</v>
      </c>
      <c r="Z30" s="35"/>
      <c r="AA30" s="35"/>
      <c r="AB30" s="35"/>
      <c r="AC30" s="35"/>
      <c r="AD30" s="35"/>
      <c r="AE30" s="35"/>
      <c r="AF30" s="371"/>
      <c r="AG30" s="371"/>
      <c r="AH30" s="35"/>
      <c r="AI30" s="35"/>
      <c r="AJ30" s="35"/>
      <c r="AK30" s="35"/>
      <c r="AL30" s="35"/>
      <c r="AM30" s="35"/>
      <c r="AN30" s="35"/>
      <c r="AO30" s="35"/>
      <c r="AP30" s="35"/>
      <c r="AQ30" s="35"/>
      <c r="AR30" s="35"/>
      <c r="AS30" s="35"/>
      <c r="AT30" s="35"/>
      <c r="AU30" s="35"/>
      <c r="AV30" s="35"/>
      <c r="AW30" s="35"/>
      <c r="AX30" s="35"/>
      <c r="AY30" s="35"/>
      <c r="AZ30" s="35"/>
      <c r="BA30" s="35"/>
      <c r="BB30" s="35">
        <f>39.228+5524.222</f>
        <v>5563.45</v>
      </c>
      <c r="BC30" s="35">
        <f>39.228+5475.042</f>
        <v>5514.27</v>
      </c>
      <c r="BD30" s="35">
        <f>155+12518.167</f>
        <v>12673.166999999999</v>
      </c>
      <c r="BE30" s="35">
        <f>155+12518.167</f>
        <v>12673.166999999999</v>
      </c>
      <c r="BF30" s="35"/>
      <c r="BG30" s="35"/>
      <c r="BH30" s="35"/>
      <c r="BI30" s="35"/>
      <c r="BJ30" s="35"/>
      <c r="BK30" s="35"/>
      <c r="BL30" s="35"/>
      <c r="BM30" s="35"/>
      <c r="BN30" s="349"/>
      <c r="BO30" s="349"/>
      <c r="BP30" s="35">
        <v>150.84200000000001</v>
      </c>
      <c r="BQ30" s="35">
        <v>150.84200000000001</v>
      </c>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49"/>
      <c r="EE30" s="349"/>
      <c r="EF30" s="35"/>
      <c r="EG30" s="35"/>
      <c r="EH30" s="349"/>
      <c r="EI30" s="349"/>
      <c r="EJ30" s="349"/>
      <c r="EK30" s="349"/>
      <c r="EL30" s="35"/>
      <c r="EM30" s="35"/>
      <c r="EN30" s="349"/>
      <c r="EO30" s="349"/>
      <c r="EP30" s="349"/>
      <c r="EQ30" s="349"/>
      <c r="ER30" s="35"/>
      <c r="ES30" s="35"/>
      <c r="ET30" s="35"/>
      <c r="EU30" s="35"/>
      <c r="EV30" s="222">
        <f t="shared" si="0"/>
        <v>18714.103999999999</v>
      </c>
      <c r="EW30" s="222">
        <f t="shared" si="1"/>
        <v>18664.924000000003</v>
      </c>
    </row>
    <row r="31" spans="1:155" s="129" customFormat="1">
      <c r="A31" s="128" t="s">
        <v>401</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v>1381.1</v>
      </c>
      <c r="AC31" s="35">
        <v>1381.1</v>
      </c>
      <c r="AD31" s="35">
        <f>45154.3+1547.9+5023.381+3176.974+4034.5+965.5+5600+531.218+552.39-29.79</f>
        <v>66556.373000000007</v>
      </c>
      <c r="AE31" s="35">
        <f>45154.3+1364.275+5023.381+3176.974+4034.5+965.5+5600+531.218+552.39-29.79</f>
        <v>66372.748000000007</v>
      </c>
      <c r="AF31" s="371">
        <f>828+1530</f>
        <v>2358</v>
      </c>
      <c r="AG31" s="371">
        <f>170+1530</f>
        <v>1700</v>
      </c>
      <c r="AH31" s="35"/>
      <c r="AI31" s="35"/>
      <c r="AJ31" s="35"/>
      <c r="AK31" s="35"/>
      <c r="AL31" s="35"/>
      <c r="AM31" s="35"/>
      <c r="AN31" s="35"/>
      <c r="AO31" s="35"/>
      <c r="AP31" s="35"/>
      <c r="AQ31" s="35"/>
      <c r="AR31" s="35"/>
      <c r="AS31" s="35"/>
      <c r="AT31" s="35">
        <f>29631.3+745.139+511.063+7687.5+275.391+53.447+29.79</f>
        <v>38933.629999999997</v>
      </c>
      <c r="AU31" s="35">
        <f>29631.3+745.139+511.063+7687.5+275.391+53.447+29.79</f>
        <v>38933.629999999997</v>
      </c>
      <c r="AV31" s="35">
        <v>15649.3</v>
      </c>
      <c r="AW31" s="35">
        <v>15649.3</v>
      </c>
      <c r="AX31" s="35">
        <f>5730.575+2104.6+4301.6+7250.9+3553.9+23641.7</f>
        <v>46583.275000000001</v>
      </c>
      <c r="AY31" s="35">
        <f>5730.575+2104.6+4301.6+7250.9+3553.9+23641.7</f>
        <v>46583.275000000001</v>
      </c>
      <c r="AZ31" s="35"/>
      <c r="BA31" s="35"/>
      <c r="BB31" s="35"/>
      <c r="BC31" s="35"/>
      <c r="BD31" s="35"/>
      <c r="BE31" s="35"/>
      <c r="BF31" s="35"/>
      <c r="BG31" s="35"/>
      <c r="BH31" s="35"/>
      <c r="BI31" s="35"/>
      <c r="BJ31" s="35"/>
      <c r="BK31" s="35"/>
      <c r="BL31" s="35"/>
      <c r="BM31" s="35"/>
      <c r="BN31" s="349"/>
      <c r="BO31" s="349"/>
      <c r="BP31" s="35">
        <v>697.79700000000003</v>
      </c>
      <c r="BQ31" s="35">
        <v>697.79700000000003</v>
      </c>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f>480+12000</f>
        <v>12480</v>
      </c>
      <c r="DW31" s="35">
        <f>480</f>
        <v>480</v>
      </c>
      <c r="DX31" s="35">
        <v>2800</v>
      </c>
      <c r="DY31" s="35">
        <v>2800</v>
      </c>
      <c r="DZ31" s="35"/>
      <c r="EA31" s="35"/>
      <c r="EB31" s="35"/>
      <c r="EC31" s="35"/>
      <c r="ED31" s="349"/>
      <c r="EE31" s="349"/>
      <c r="EF31" s="35"/>
      <c r="EG31" s="35"/>
      <c r="EH31" s="349"/>
      <c r="EI31" s="349"/>
      <c r="EJ31" s="349"/>
      <c r="EK31" s="349"/>
      <c r="EL31" s="35"/>
      <c r="EM31" s="35"/>
      <c r="EN31" s="349"/>
      <c r="EO31" s="349"/>
      <c r="EP31" s="349"/>
      <c r="EQ31" s="349"/>
      <c r="ER31" s="35"/>
      <c r="ES31" s="35"/>
      <c r="ET31" s="35"/>
      <c r="EU31" s="35"/>
      <c r="EV31" s="222">
        <f>B31+D31+F31+H31+J31+L31+N31+P31+R31+T31+V31+X31+Z31+AB31+AD31+AF31+AH31+AJ31+AL31+AN31+AP31+AR31+AT31+AV31+AX31+AZ31+BB31+BD31+BF31+BH31+BJ31+BL31+BN31+BP31+BR31+BT31+BV31+BX31+BZ31+CB31+CD31+CF31+CH31+CJ31+CL31+CN31+CP31+CR31+CT31+CV31+CX31+CZ31+DB31+DD31+DF31+DH31+DJ31+DL31+DN31+DP31+DR31+DT31+DZ31+EB31+EF31+EL31+ER31+ET31</f>
        <v>172159.47500000001</v>
      </c>
      <c r="EW31" s="222">
        <f>C31+E31+G31+I31+K31+M31+O31+Q31+S31+U31+W31+Y31+AA31+AC31+AE31+AG31+AI31+AK31+AM31+AO31+AQ31+AS31+AU31+AW31+AY31+BA31+BC31+BE31+BG31+BI31+BK31+BM31+BO31+BQ31+BS31+BU31+BW31+BY31+CA31+CC31+CE31+CG31+CI31+CK31+CM31+CO31+CQ31+CS31+CU31+CW31+CY31+DA31+DC31+DE31+DG31+DI31+DK31+DM31+DO31+DQ31+DS31+DU31+EA31+EC31+EG31+EM31+ES31+EU31</f>
        <v>171317.85</v>
      </c>
      <c r="EX31" s="374"/>
      <c r="EY31" s="374"/>
    </row>
    <row r="32" spans="1:155">
      <c r="A32" s="128" t="s">
        <v>402</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71"/>
      <c r="AG32" s="371"/>
      <c r="AH32" s="35"/>
      <c r="AI32" s="35"/>
      <c r="AJ32" s="35"/>
      <c r="AK32" s="35"/>
      <c r="AL32" s="35"/>
      <c r="AM32" s="35"/>
      <c r="AN32" s="35"/>
      <c r="AO32" s="35"/>
      <c r="AP32" s="35"/>
      <c r="AQ32" s="35"/>
      <c r="AR32" s="35"/>
      <c r="AS32" s="35"/>
      <c r="AT32" s="35"/>
      <c r="AU32" s="35"/>
      <c r="AV32" s="35"/>
      <c r="AW32" s="35"/>
      <c r="AX32" s="35"/>
      <c r="AY32" s="35"/>
      <c r="AZ32" s="35"/>
      <c r="BA32" s="35"/>
      <c r="BB32" s="35">
        <f>23.482+3298.603</f>
        <v>3322.085</v>
      </c>
      <c r="BC32" s="35">
        <f>23.482+3207.36</f>
        <v>3230.8420000000001</v>
      </c>
      <c r="BD32" s="35">
        <f>88+6841.004</f>
        <v>6929.0039999999999</v>
      </c>
      <c r="BE32" s="35">
        <f>88+6841.004</f>
        <v>6929.0039999999999</v>
      </c>
      <c r="BF32" s="35"/>
      <c r="BG32" s="35"/>
      <c r="BH32" s="35"/>
      <c r="BI32" s="35"/>
      <c r="BJ32" s="35"/>
      <c r="BK32" s="35"/>
      <c r="BL32" s="35"/>
      <c r="BM32" s="35"/>
      <c r="BN32" s="349"/>
      <c r="BO32" s="349"/>
      <c r="BP32" s="35">
        <v>185.43299999999999</v>
      </c>
      <c r="BQ32" s="35">
        <v>185.43299999999999</v>
      </c>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49"/>
      <c r="EE32" s="349"/>
      <c r="EF32" s="35"/>
      <c r="EG32" s="35"/>
      <c r="EH32" s="349"/>
      <c r="EI32" s="349"/>
      <c r="EJ32" s="349"/>
      <c r="EK32" s="349"/>
      <c r="EL32" s="35"/>
      <c r="EM32" s="35"/>
      <c r="EN32" s="349"/>
      <c r="EO32" s="349"/>
      <c r="EP32" s="349"/>
      <c r="EQ32" s="349"/>
      <c r="ER32" s="35"/>
      <c r="ES32" s="35"/>
      <c r="ET32" s="35"/>
      <c r="EU32" s="35"/>
      <c r="EV32" s="222">
        <f t="shared" ref="EV32:EV41" si="2">B32+D32+F32+H32+J32+L32+N32+P32+R32+T32+V32+X32+Z32+AB32+AD32+AF32+AH32+AJ32+AL32+AN32+AP32+AR32+AT32+AV32+AX32+AZ32+BB32+BD32+BF32+BH32+BJ32+BL32+BN32+BP32+BR32+BT32+BV32+BX32+BZ32+CB32+CD32+CF32+CH32+CJ32+CL32+CN32+CP32+CR32+CT32+CV32+CX32+CZ32+DB32+DD32+DF32+DH32+DJ32+DL32+DN32+DP32+DR32+DT32+DZ32+EB32+EF32+EL32+ER32+ET32</f>
        <v>10436.522000000001</v>
      </c>
      <c r="EW32" s="222">
        <f t="shared" ref="EW32:EW41" si="3">C32+E32+G32+I32+K32+M32+O32+Q32+S32+U32+W32+Y32+AA32+AC32+AE32+AG32+AI32+AK32+AM32+AO32+AQ32+AS32+AU32+AW32+AY32+BA32+BC32+BE32+BG32+BI32+BK32+BM32+BO32+BQ32+BS32+BU32+BW32+BY32+CA32+CC32+CE32+CG32+CI32+CK32+CM32+CO32+CQ32+CS32+CU32+CW32+CY32+DA32+DC32+DE32+DG32+DI32+DK32+DM32+DO32+DQ32+DS32+DU32+EA32+EC32+EG32+EM32+ES32+EU32</f>
        <v>10345.278999999999</v>
      </c>
    </row>
    <row r="33" spans="1:155">
      <c r="A33" s="128" t="s">
        <v>403</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71"/>
      <c r="AG33" s="371"/>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49"/>
      <c r="BO33" s="349"/>
      <c r="BP33" s="35"/>
      <c r="BQ33" s="35"/>
      <c r="BR33" s="35"/>
      <c r="BS33" s="35"/>
      <c r="BT33" s="35"/>
      <c r="BU33" s="35"/>
      <c r="BV33" s="35">
        <v>5391.8609999999999</v>
      </c>
      <c r="BW33" s="35">
        <v>5391.174</v>
      </c>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49"/>
      <c r="EE33" s="349"/>
      <c r="EF33" s="35"/>
      <c r="EG33" s="35"/>
      <c r="EH33" s="349"/>
      <c r="EI33" s="349"/>
      <c r="EJ33" s="349"/>
      <c r="EK33" s="349"/>
      <c r="EL33" s="35"/>
      <c r="EM33" s="35"/>
      <c r="EN33" s="349"/>
      <c r="EO33" s="349"/>
      <c r="EP33" s="349"/>
      <c r="EQ33" s="349"/>
      <c r="ER33" s="35"/>
      <c r="ES33" s="35"/>
      <c r="ET33" s="35"/>
      <c r="EU33" s="35"/>
      <c r="EV33" s="222">
        <f t="shared" si="2"/>
        <v>5391.8609999999999</v>
      </c>
      <c r="EW33" s="222">
        <f t="shared" si="3"/>
        <v>5391.174</v>
      </c>
    </row>
    <row r="34" spans="1:155">
      <c r="A34" s="128" t="s">
        <v>385</v>
      </c>
      <c r="B34" s="35"/>
      <c r="C34" s="35"/>
      <c r="D34" s="35"/>
      <c r="E34" s="35"/>
      <c r="F34" s="35"/>
      <c r="G34" s="35"/>
      <c r="H34" s="35"/>
      <c r="I34" s="35"/>
      <c r="J34" s="35"/>
      <c r="K34" s="35"/>
      <c r="L34" s="35"/>
      <c r="M34" s="35"/>
      <c r="N34" s="35"/>
      <c r="O34" s="35"/>
      <c r="P34" s="35"/>
      <c r="Q34" s="35"/>
      <c r="R34" s="35">
        <v>0.82699999999999996</v>
      </c>
      <c r="S34" s="35">
        <v>0.82699999999999996</v>
      </c>
      <c r="T34" s="35"/>
      <c r="U34" s="35"/>
      <c r="V34" s="35"/>
      <c r="W34" s="35"/>
      <c r="X34" s="35"/>
      <c r="Y34" s="35"/>
      <c r="Z34" s="35"/>
      <c r="AA34" s="35"/>
      <c r="AB34" s="35"/>
      <c r="AC34" s="35"/>
      <c r="AD34" s="35"/>
      <c r="AE34" s="35"/>
      <c r="AF34" s="371"/>
      <c r="AG34" s="371"/>
      <c r="AH34" s="35"/>
      <c r="AI34" s="35"/>
      <c r="AJ34" s="35"/>
      <c r="AK34" s="35"/>
      <c r="AL34" s="35"/>
      <c r="AM34" s="35"/>
      <c r="AN34" s="35"/>
      <c r="AO34" s="35"/>
      <c r="AP34" s="35"/>
      <c r="AQ34" s="35"/>
      <c r="AR34" s="35"/>
      <c r="AS34" s="35"/>
      <c r="AT34" s="35"/>
      <c r="AU34" s="35"/>
      <c r="AV34" s="35"/>
      <c r="AW34" s="35"/>
      <c r="AX34" s="35"/>
      <c r="AY34" s="35"/>
      <c r="AZ34" s="35"/>
      <c r="BA34" s="35"/>
      <c r="BB34" s="35">
        <v>4.5880000000000001</v>
      </c>
      <c r="BC34" s="35">
        <v>4.5049999999999999</v>
      </c>
      <c r="BD34" s="35"/>
      <c r="BE34" s="35"/>
      <c r="BF34" s="35"/>
      <c r="BG34" s="35"/>
      <c r="BH34" s="35"/>
      <c r="BI34" s="35"/>
      <c r="BJ34" s="35"/>
      <c r="BK34" s="35"/>
      <c r="BL34" s="35"/>
      <c r="BM34" s="35"/>
      <c r="BN34" s="349"/>
      <c r="BO34" s="349"/>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f>7584.188+405.54+1980.002</f>
        <v>9969.73</v>
      </c>
      <c r="DE34" s="35">
        <f>7584.143+405.54+1980.002</f>
        <v>9969.6849999999995</v>
      </c>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49"/>
      <c r="EE34" s="349"/>
      <c r="EF34" s="35"/>
      <c r="EG34" s="35"/>
      <c r="EH34" s="349"/>
      <c r="EI34" s="349"/>
      <c r="EJ34" s="349"/>
      <c r="EK34" s="349"/>
      <c r="EL34" s="35"/>
      <c r="EM34" s="35"/>
      <c r="EN34" s="349"/>
      <c r="EO34" s="349"/>
      <c r="EP34" s="349"/>
      <c r="EQ34" s="349"/>
      <c r="ER34" s="35"/>
      <c r="ES34" s="35"/>
      <c r="ET34" s="35">
        <f>1263.11+842</f>
        <v>2105.1099999999997</v>
      </c>
      <c r="EU34" s="35">
        <f>421+842</f>
        <v>1263</v>
      </c>
      <c r="EV34" s="222">
        <f t="shared" si="2"/>
        <v>12080.255000000001</v>
      </c>
      <c r="EW34" s="222">
        <f t="shared" si="3"/>
        <v>11238.017</v>
      </c>
    </row>
    <row r="35" spans="1:155">
      <c r="A35" s="128" t="s">
        <v>393</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71"/>
      <c r="AG35" s="371"/>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49"/>
      <c r="BO35" s="349"/>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49"/>
      <c r="EE35" s="349"/>
      <c r="EF35" s="35"/>
      <c r="EG35" s="35"/>
      <c r="EH35" s="349"/>
      <c r="EI35" s="349"/>
      <c r="EJ35" s="349"/>
      <c r="EK35" s="349"/>
      <c r="EL35" s="35"/>
      <c r="EM35" s="35"/>
      <c r="EN35" s="349"/>
      <c r="EO35" s="349"/>
      <c r="EP35" s="349"/>
      <c r="EQ35" s="349"/>
      <c r="ER35" s="35"/>
      <c r="ES35" s="35"/>
      <c r="ET35" s="35"/>
      <c r="EU35" s="35"/>
      <c r="EV35" s="222">
        <f t="shared" si="2"/>
        <v>0</v>
      </c>
      <c r="EW35" s="222">
        <f t="shared" si="3"/>
        <v>0</v>
      </c>
    </row>
    <row r="36" spans="1:155">
      <c r="A36" s="128" t="s">
        <v>378</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71"/>
      <c r="AG36" s="371"/>
      <c r="AH36" s="35"/>
      <c r="AI36" s="35"/>
      <c r="AJ36" s="35"/>
      <c r="AK36" s="35"/>
      <c r="AL36" s="35"/>
      <c r="AM36" s="35"/>
      <c r="AN36" s="35">
        <v>3828.7</v>
      </c>
      <c r="AO36" s="35">
        <v>3828.7</v>
      </c>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49"/>
      <c r="BO36" s="349"/>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v>6063.5</v>
      </c>
      <c r="EA36" s="35">
        <v>6063.5</v>
      </c>
      <c r="EB36" s="35"/>
      <c r="EC36" s="35"/>
      <c r="ED36" s="349"/>
      <c r="EE36" s="349"/>
      <c r="EF36" s="35"/>
      <c r="EG36" s="35"/>
      <c r="EH36" s="349"/>
      <c r="EI36" s="349"/>
      <c r="EJ36" s="349"/>
      <c r="EK36" s="349"/>
      <c r="EL36" s="35"/>
      <c r="EM36" s="35"/>
      <c r="EN36" s="349"/>
      <c r="EO36" s="349"/>
      <c r="EP36" s="349"/>
      <c r="EQ36" s="349"/>
      <c r="ER36" s="35"/>
      <c r="ES36" s="35"/>
      <c r="ET36" s="35"/>
      <c r="EU36" s="35"/>
      <c r="EV36" s="222">
        <f t="shared" si="2"/>
        <v>9892.2000000000007</v>
      </c>
      <c r="EW36" s="222">
        <f t="shared" si="3"/>
        <v>9892.2000000000007</v>
      </c>
    </row>
    <row r="37" spans="1:155">
      <c r="A37" s="128" t="s">
        <v>404</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71"/>
      <c r="AG37" s="371"/>
      <c r="AH37" s="35"/>
      <c r="AI37" s="35"/>
      <c r="AJ37" s="35"/>
      <c r="AK37" s="35"/>
      <c r="AL37" s="35"/>
      <c r="AM37" s="35"/>
      <c r="AN37" s="35"/>
      <c r="AO37" s="35"/>
      <c r="AP37" s="35">
        <v>11407.79</v>
      </c>
      <c r="AQ37" s="35">
        <v>10606.231</v>
      </c>
      <c r="AR37" s="35"/>
      <c r="AS37" s="35"/>
      <c r="AT37" s="35"/>
      <c r="AU37" s="35"/>
      <c r="AV37" s="35"/>
      <c r="AW37" s="35"/>
      <c r="AX37" s="35"/>
      <c r="AY37" s="35"/>
      <c r="AZ37" s="35"/>
      <c r="BA37" s="35"/>
      <c r="BB37" s="35"/>
      <c r="BC37" s="35"/>
      <c r="BD37" s="35"/>
      <c r="BE37" s="35"/>
      <c r="BF37" s="35"/>
      <c r="BG37" s="35"/>
      <c r="BH37" s="35"/>
      <c r="BI37" s="35"/>
      <c r="BJ37" s="35"/>
      <c r="BK37" s="35"/>
      <c r="BL37" s="35"/>
      <c r="BM37" s="35"/>
      <c r="BN37" s="349"/>
      <c r="BO37" s="349"/>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v>1649.26</v>
      </c>
      <c r="EC37" s="35">
        <v>1649.26</v>
      </c>
      <c r="ED37" s="349"/>
      <c r="EE37" s="349"/>
      <c r="EF37" s="35"/>
      <c r="EG37" s="35"/>
      <c r="EH37" s="349"/>
      <c r="EI37" s="349"/>
      <c r="EJ37" s="349"/>
      <c r="EK37" s="349"/>
      <c r="EL37" s="35"/>
      <c r="EM37" s="35"/>
      <c r="EN37" s="349"/>
      <c r="EO37" s="349"/>
      <c r="EP37" s="349"/>
      <c r="EQ37" s="349"/>
      <c r="ER37" s="35"/>
      <c r="ES37" s="35"/>
      <c r="ET37" s="35"/>
      <c r="EU37" s="35"/>
      <c r="EV37" s="222">
        <f t="shared" si="2"/>
        <v>13057.050000000001</v>
      </c>
      <c r="EW37" s="222">
        <f t="shared" si="3"/>
        <v>12255.491</v>
      </c>
    </row>
    <row r="38" spans="1:155" ht="12.75" customHeight="1">
      <c r="A38" s="128" t="s">
        <v>47</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71"/>
      <c r="AG38" s="371"/>
      <c r="AH38" s="35"/>
      <c r="AI38" s="35"/>
      <c r="AJ38" s="35"/>
      <c r="AK38" s="35"/>
      <c r="AL38" s="35"/>
      <c r="AM38" s="35"/>
      <c r="AN38" s="35">
        <v>402.99</v>
      </c>
      <c r="AO38" s="35">
        <v>402.99</v>
      </c>
      <c r="AP38" s="35">
        <f>219.3+10.965</f>
        <v>230.26500000000001</v>
      </c>
      <c r="AQ38" s="35">
        <f>219.3+10.965</f>
        <v>230.26500000000001</v>
      </c>
      <c r="AR38" s="35"/>
      <c r="AS38" s="35"/>
      <c r="AT38" s="35"/>
      <c r="AU38" s="35"/>
      <c r="AV38" s="35"/>
      <c r="AW38" s="35"/>
      <c r="AX38" s="35"/>
      <c r="AY38" s="35"/>
      <c r="AZ38" s="35"/>
      <c r="BA38" s="35"/>
      <c r="BB38" s="35"/>
      <c r="BC38" s="35"/>
      <c r="BD38" s="35"/>
      <c r="BE38" s="35"/>
      <c r="BF38" s="35"/>
      <c r="BG38" s="35"/>
      <c r="BH38" s="35"/>
      <c r="BI38" s="35"/>
      <c r="BJ38" s="35"/>
      <c r="BK38" s="35"/>
      <c r="BL38" s="35"/>
      <c r="BM38" s="35"/>
      <c r="BN38" s="349"/>
      <c r="BO38" s="349"/>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49"/>
      <c r="EE38" s="349"/>
      <c r="EF38" s="35"/>
      <c r="EG38" s="35"/>
      <c r="EH38" s="349"/>
      <c r="EI38" s="349"/>
      <c r="EJ38" s="349"/>
      <c r="EK38" s="349"/>
      <c r="EL38" s="35"/>
      <c r="EM38" s="35"/>
      <c r="EN38" s="349"/>
      <c r="EO38" s="349"/>
      <c r="EP38" s="349"/>
      <c r="EQ38" s="349"/>
      <c r="ER38" s="35"/>
      <c r="ES38" s="35"/>
      <c r="ET38" s="35"/>
      <c r="EU38" s="35"/>
      <c r="EV38" s="222">
        <f t="shared" si="2"/>
        <v>633.255</v>
      </c>
      <c r="EW38" s="222">
        <f t="shared" si="3"/>
        <v>633.255</v>
      </c>
    </row>
    <row r="39" spans="1:155">
      <c r="A39" s="128" t="s">
        <v>405</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71"/>
      <c r="AG39" s="371"/>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v>653</v>
      </c>
      <c r="BG39" s="35">
        <v>651.26199999999994</v>
      </c>
      <c r="BH39" s="35"/>
      <c r="BI39" s="35"/>
      <c r="BJ39" s="35"/>
      <c r="BK39" s="35"/>
      <c r="BL39" s="35"/>
      <c r="BM39" s="35"/>
      <c r="BN39" s="349"/>
      <c r="BO39" s="349"/>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49"/>
      <c r="EE39" s="349"/>
      <c r="EF39" s="35"/>
      <c r="EG39" s="35"/>
      <c r="EH39" s="349"/>
      <c r="EI39" s="349"/>
      <c r="EJ39" s="349"/>
      <c r="EK39" s="349"/>
      <c r="EL39" s="35"/>
      <c r="EM39" s="35"/>
      <c r="EN39" s="349"/>
      <c r="EO39" s="349"/>
      <c r="EP39" s="349"/>
      <c r="EQ39" s="349"/>
      <c r="ER39" s="35"/>
      <c r="ES39" s="35"/>
      <c r="ET39" s="35"/>
      <c r="EU39" s="35"/>
      <c r="EV39" s="222">
        <f t="shared" si="2"/>
        <v>653</v>
      </c>
      <c r="EW39" s="222">
        <f t="shared" si="3"/>
        <v>651.26199999999994</v>
      </c>
    </row>
    <row r="40" spans="1:155">
      <c r="A40" s="128" t="s">
        <v>50</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71"/>
      <c r="AG40" s="371"/>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49"/>
      <c r="BO40" s="349"/>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v>56343.4</v>
      </c>
      <c r="DA40" s="35">
        <v>56343.4</v>
      </c>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49"/>
      <c r="EE40" s="349"/>
      <c r="EF40" s="35"/>
      <c r="EG40" s="35"/>
      <c r="EH40" s="349"/>
      <c r="EI40" s="349"/>
      <c r="EJ40" s="349"/>
      <c r="EK40" s="349"/>
      <c r="EL40" s="35"/>
      <c r="EM40" s="35"/>
      <c r="EN40" s="349"/>
      <c r="EO40" s="349"/>
      <c r="EP40" s="349"/>
      <c r="EQ40" s="349"/>
      <c r="ER40" s="35"/>
      <c r="ES40" s="35"/>
      <c r="ET40" s="35"/>
      <c r="EU40" s="35"/>
      <c r="EV40" s="222">
        <f t="shared" si="2"/>
        <v>56343.4</v>
      </c>
      <c r="EW40" s="222">
        <f t="shared" si="3"/>
        <v>56343.4</v>
      </c>
    </row>
    <row r="41" spans="1:155">
      <c r="A41" s="128" t="s">
        <v>51</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71"/>
      <c r="AG41" s="371"/>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49"/>
      <c r="BO41" s="349"/>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49"/>
      <c r="EE41" s="349"/>
      <c r="EF41" s="35"/>
      <c r="EG41" s="35"/>
      <c r="EH41" s="349"/>
      <c r="EI41" s="349"/>
      <c r="EJ41" s="349"/>
      <c r="EK41" s="349"/>
      <c r="EL41" s="35"/>
      <c r="EM41" s="35"/>
      <c r="EN41" s="349"/>
      <c r="EO41" s="349"/>
      <c r="EP41" s="349"/>
      <c r="EQ41" s="349"/>
      <c r="ER41" s="35">
        <v>57848</v>
      </c>
      <c r="ES41" s="35">
        <v>57848</v>
      </c>
      <c r="ET41" s="35"/>
      <c r="EU41" s="35"/>
      <c r="EV41" s="222">
        <f t="shared" si="2"/>
        <v>57848</v>
      </c>
      <c r="EW41" s="222">
        <f t="shared" si="3"/>
        <v>57848</v>
      </c>
    </row>
    <row r="42" spans="1:155" s="129" customFormat="1">
      <c r="A42" s="128" t="s">
        <v>406</v>
      </c>
      <c r="B42" s="35">
        <f>SUM(B3:B41)</f>
        <v>3685.1880000000001</v>
      </c>
      <c r="C42" s="35">
        <f t="shared" ref="C42:BL42" si="4">SUM(C3:C41)</f>
        <v>3667.2759999999998</v>
      </c>
      <c r="D42" s="35">
        <f t="shared" si="4"/>
        <v>0</v>
      </c>
      <c r="E42" s="35">
        <f t="shared" si="4"/>
        <v>0</v>
      </c>
      <c r="F42" s="35">
        <f t="shared" si="4"/>
        <v>3284.4290000000001</v>
      </c>
      <c r="G42" s="35">
        <f t="shared" si="4"/>
        <v>2793.1869999999999</v>
      </c>
      <c r="H42" s="35">
        <f t="shared" si="4"/>
        <v>2763.0720000000001</v>
      </c>
      <c r="I42" s="35">
        <f t="shared" si="4"/>
        <v>2763.0720000000001</v>
      </c>
      <c r="J42" s="35">
        <f t="shared" si="4"/>
        <v>3205.1729999999998</v>
      </c>
      <c r="K42" s="35">
        <f t="shared" si="4"/>
        <v>3205.1729999999998</v>
      </c>
      <c r="L42" s="35">
        <f t="shared" si="4"/>
        <v>530.34300000000007</v>
      </c>
      <c r="M42" s="35">
        <f t="shared" si="4"/>
        <v>520.94299999999998</v>
      </c>
      <c r="N42" s="35">
        <f t="shared" si="4"/>
        <v>137607.72399999999</v>
      </c>
      <c r="O42" s="35">
        <f t="shared" si="4"/>
        <v>137505.326</v>
      </c>
      <c r="P42" s="35">
        <f t="shared" si="4"/>
        <v>39970.099999999991</v>
      </c>
      <c r="Q42" s="35">
        <f t="shared" si="4"/>
        <v>34926.001999999993</v>
      </c>
      <c r="R42" s="35">
        <f t="shared" si="4"/>
        <v>59955.462</v>
      </c>
      <c r="S42" s="35">
        <f t="shared" si="4"/>
        <v>59343.654000000002</v>
      </c>
      <c r="T42" s="35">
        <f t="shared" si="4"/>
        <v>82646.546000000002</v>
      </c>
      <c r="U42" s="35">
        <f t="shared" si="4"/>
        <v>80625.974999999991</v>
      </c>
      <c r="V42" s="35">
        <f t="shared" si="4"/>
        <v>7579.1010000000006</v>
      </c>
      <c r="W42" s="35">
        <f t="shared" si="4"/>
        <v>7579.0640000000003</v>
      </c>
      <c r="X42" s="35">
        <f t="shared" si="4"/>
        <v>831.44499999999994</v>
      </c>
      <c r="Y42" s="35">
        <f t="shared" si="4"/>
        <v>831.44499999999994</v>
      </c>
      <c r="Z42" s="35">
        <f t="shared" si="4"/>
        <v>6892.1</v>
      </c>
      <c r="AA42" s="35">
        <f t="shared" si="4"/>
        <v>2733.7</v>
      </c>
      <c r="AB42" s="35">
        <f t="shared" si="4"/>
        <v>4007.893</v>
      </c>
      <c r="AC42" s="35">
        <f t="shared" si="4"/>
        <v>3999.6759999999999</v>
      </c>
      <c r="AD42" s="35">
        <f t="shared" si="4"/>
        <v>66556.373000000007</v>
      </c>
      <c r="AE42" s="35">
        <f t="shared" si="4"/>
        <v>66372.748000000007</v>
      </c>
      <c r="AF42" s="35">
        <f t="shared" si="4"/>
        <v>2358</v>
      </c>
      <c r="AG42" s="35">
        <f t="shared" si="4"/>
        <v>1700</v>
      </c>
      <c r="AH42" s="35">
        <f t="shared" si="4"/>
        <v>827.76700000000005</v>
      </c>
      <c r="AI42" s="35">
        <f t="shared" si="4"/>
        <v>825.83299999999997</v>
      </c>
      <c r="AJ42" s="35">
        <f t="shared" si="4"/>
        <v>263.44200000000001</v>
      </c>
      <c r="AK42" s="35">
        <f t="shared" si="4"/>
        <v>216.988</v>
      </c>
      <c r="AL42" s="35">
        <f t="shared" si="4"/>
        <v>1086.626</v>
      </c>
      <c r="AM42" s="35">
        <f t="shared" si="4"/>
        <v>1086.626</v>
      </c>
      <c r="AN42" s="35">
        <f t="shared" si="4"/>
        <v>4231.6899999999996</v>
      </c>
      <c r="AO42" s="35">
        <f t="shared" si="4"/>
        <v>4231.6899999999996</v>
      </c>
      <c r="AP42" s="35">
        <f t="shared" si="4"/>
        <v>11638.055</v>
      </c>
      <c r="AQ42" s="35">
        <f t="shared" si="4"/>
        <v>10836.495999999999</v>
      </c>
      <c r="AR42" s="35">
        <f t="shared" si="4"/>
        <v>300</v>
      </c>
      <c r="AS42" s="35">
        <f t="shared" si="4"/>
        <v>300</v>
      </c>
      <c r="AT42" s="35">
        <f t="shared" si="4"/>
        <v>38933.629999999997</v>
      </c>
      <c r="AU42" s="35">
        <f t="shared" si="4"/>
        <v>38933.629999999997</v>
      </c>
      <c r="AV42" s="35">
        <f t="shared" si="4"/>
        <v>15649.3</v>
      </c>
      <c r="AW42" s="35">
        <f t="shared" si="4"/>
        <v>15649.3</v>
      </c>
      <c r="AX42" s="35">
        <f t="shared" si="4"/>
        <v>46583.275000000001</v>
      </c>
      <c r="AY42" s="35">
        <f t="shared" si="4"/>
        <v>46583.275000000001</v>
      </c>
      <c r="AZ42" s="35">
        <f t="shared" si="4"/>
        <v>0</v>
      </c>
      <c r="BA42" s="35">
        <f t="shared" si="4"/>
        <v>0</v>
      </c>
      <c r="BB42" s="35">
        <f t="shared" si="4"/>
        <v>39909.687000000005</v>
      </c>
      <c r="BC42" s="35">
        <f t="shared" si="4"/>
        <v>37614.721999999994</v>
      </c>
      <c r="BD42" s="35">
        <f t="shared" si="4"/>
        <v>69932.971999999994</v>
      </c>
      <c r="BE42" s="35">
        <f t="shared" si="4"/>
        <v>69713.676000000007</v>
      </c>
      <c r="BF42" s="35">
        <f t="shared" si="4"/>
        <v>653</v>
      </c>
      <c r="BG42" s="35">
        <f t="shared" si="4"/>
        <v>651.26199999999994</v>
      </c>
      <c r="BH42" s="35">
        <f t="shared" si="4"/>
        <v>910</v>
      </c>
      <c r="BI42" s="35">
        <f t="shared" si="4"/>
        <v>910</v>
      </c>
      <c r="BJ42" s="35">
        <f t="shared" si="4"/>
        <v>12139.721</v>
      </c>
      <c r="BK42" s="35">
        <f t="shared" si="4"/>
        <v>12073.674999999999</v>
      </c>
      <c r="BL42" s="35">
        <f t="shared" si="4"/>
        <v>0</v>
      </c>
      <c r="BM42" s="35">
        <f t="shared" ref="BM42:EF42" si="5">SUM(BM3:BM41)</f>
        <v>0</v>
      </c>
      <c r="BN42" s="349">
        <f>SUM(BN3:BN41)</f>
        <v>895.06500000000005</v>
      </c>
      <c r="BO42" s="349">
        <f>SUM(BO3:BO41)</f>
        <v>895.06500000000005</v>
      </c>
      <c r="BP42" s="35">
        <f t="shared" si="5"/>
        <v>8297.4989999999998</v>
      </c>
      <c r="BQ42" s="35">
        <f t="shared" si="5"/>
        <v>8262.7389999999978</v>
      </c>
      <c r="BR42" s="35">
        <f t="shared" si="5"/>
        <v>0</v>
      </c>
      <c r="BS42" s="35">
        <f t="shared" si="5"/>
        <v>0</v>
      </c>
      <c r="BT42" s="35">
        <f t="shared" si="5"/>
        <v>381.47500000000002</v>
      </c>
      <c r="BU42" s="35">
        <f t="shared" si="5"/>
        <v>381.47500000000002</v>
      </c>
      <c r="BV42" s="35">
        <f t="shared" si="5"/>
        <v>5391.8609999999999</v>
      </c>
      <c r="BW42" s="35">
        <f t="shared" si="5"/>
        <v>5391.174</v>
      </c>
      <c r="BX42" s="35">
        <f t="shared" si="5"/>
        <v>1679.5350000000001</v>
      </c>
      <c r="BY42" s="35">
        <f t="shared" si="5"/>
        <v>1673.307</v>
      </c>
      <c r="BZ42" s="35">
        <f t="shared" si="5"/>
        <v>118.446</v>
      </c>
      <c r="CA42" s="35">
        <f t="shared" si="5"/>
        <v>117.94</v>
      </c>
      <c r="CB42" s="35">
        <f t="shared" si="5"/>
        <v>180.69900000000001</v>
      </c>
      <c r="CC42" s="35">
        <f t="shared" si="5"/>
        <v>180.69900000000001</v>
      </c>
      <c r="CD42" s="35">
        <f t="shared" si="5"/>
        <v>0</v>
      </c>
      <c r="CE42" s="35">
        <f t="shared" si="5"/>
        <v>0</v>
      </c>
      <c r="CF42" s="35">
        <f t="shared" si="5"/>
        <v>0</v>
      </c>
      <c r="CG42" s="35">
        <f t="shared" si="5"/>
        <v>0</v>
      </c>
      <c r="CH42" s="35">
        <f t="shared" si="5"/>
        <v>0</v>
      </c>
      <c r="CI42" s="35">
        <f t="shared" si="5"/>
        <v>0</v>
      </c>
      <c r="CJ42" s="35">
        <f t="shared" si="5"/>
        <v>0</v>
      </c>
      <c r="CK42" s="35">
        <f t="shared" si="5"/>
        <v>0</v>
      </c>
      <c r="CL42" s="35">
        <f t="shared" si="5"/>
        <v>0</v>
      </c>
      <c r="CM42" s="35">
        <f t="shared" si="5"/>
        <v>0</v>
      </c>
      <c r="CN42" s="35">
        <f t="shared" si="5"/>
        <v>0</v>
      </c>
      <c r="CO42" s="35">
        <f t="shared" si="5"/>
        <v>0</v>
      </c>
      <c r="CP42" s="35">
        <f t="shared" si="5"/>
        <v>0</v>
      </c>
      <c r="CQ42" s="35">
        <f t="shared" si="5"/>
        <v>0</v>
      </c>
      <c r="CR42" s="35">
        <f t="shared" si="5"/>
        <v>0</v>
      </c>
      <c r="CS42" s="35">
        <f t="shared" si="5"/>
        <v>0</v>
      </c>
      <c r="CT42" s="35">
        <f t="shared" si="5"/>
        <v>0</v>
      </c>
      <c r="CU42" s="35">
        <f t="shared" si="5"/>
        <v>0</v>
      </c>
      <c r="CV42" s="35">
        <f t="shared" si="5"/>
        <v>0</v>
      </c>
      <c r="CW42" s="35">
        <f t="shared" si="5"/>
        <v>0</v>
      </c>
      <c r="CX42" s="35">
        <f t="shared" si="5"/>
        <v>0</v>
      </c>
      <c r="CY42" s="35">
        <f t="shared" si="5"/>
        <v>0</v>
      </c>
      <c r="CZ42" s="35">
        <f t="shared" si="5"/>
        <v>56343.4</v>
      </c>
      <c r="DA42" s="35">
        <f t="shared" si="5"/>
        <v>56343.4</v>
      </c>
      <c r="DB42" s="35">
        <f t="shared" si="5"/>
        <v>1242.5999999999999</v>
      </c>
      <c r="DC42" s="35">
        <f t="shared" si="5"/>
        <v>1242.5999999999999</v>
      </c>
      <c r="DD42" s="35">
        <f t="shared" si="5"/>
        <v>9969.73</v>
      </c>
      <c r="DE42" s="35">
        <f t="shared" si="5"/>
        <v>9969.6849999999995</v>
      </c>
      <c r="DF42" s="35">
        <f t="shared" si="5"/>
        <v>490.27499999999998</v>
      </c>
      <c r="DG42" s="35">
        <f t="shared" si="5"/>
        <v>490.27499999999998</v>
      </c>
      <c r="DH42" s="35">
        <f t="shared" si="5"/>
        <v>114565.374</v>
      </c>
      <c r="DI42" s="35">
        <f t="shared" si="5"/>
        <v>108249.48699999999</v>
      </c>
      <c r="DJ42" s="35">
        <f t="shared" si="5"/>
        <v>52666.076999999997</v>
      </c>
      <c r="DK42" s="35">
        <f t="shared" si="5"/>
        <v>52665.917000000001</v>
      </c>
      <c r="DL42" s="35">
        <f t="shared" si="5"/>
        <v>298.64400000000001</v>
      </c>
      <c r="DM42" s="35">
        <f t="shared" si="5"/>
        <v>298.64400000000001</v>
      </c>
      <c r="DN42" s="35">
        <f t="shared" si="5"/>
        <v>18666.667000000001</v>
      </c>
      <c r="DO42" s="35">
        <f t="shared" si="5"/>
        <v>18666.667000000001</v>
      </c>
      <c r="DP42" s="35">
        <f t="shared" si="5"/>
        <v>0</v>
      </c>
      <c r="DQ42" s="35">
        <f t="shared" si="5"/>
        <v>0</v>
      </c>
      <c r="DR42" s="35">
        <f t="shared" si="5"/>
        <v>0</v>
      </c>
      <c r="DS42" s="35">
        <f t="shared" si="5"/>
        <v>0</v>
      </c>
      <c r="DT42" s="35">
        <f t="shared" si="5"/>
        <v>37765.525999999998</v>
      </c>
      <c r="DU42" s="35">
        <f t="shared" si="5"/>
        <v>37709.495999999999</v>
      </c>
      <c r="DV42" s="35">
        <f t="shared" si="5"/>
        <v>12480</v>
      </c>
      <c r="DW42" s="35">
        <f t="shared" si="5"/>
        <v>480</v>
      </c>
      <c r="DX42" s="35">
        <f t="shared" si="5"/>
        <v>2800</v>
      </c>
      <c r="DY42" s="35">
        <f t="shared" si="5"/>
        <v>2800</v>
      </c>
      <c r="DZ42" s="35">
        <f t="shared" si="5"/>
        <v>6063.5</v>
      </c>
      <c r="EA42" s="35">
        <f t="shared" si="5"/>
        <v>6063.5</v>
      </c>
      <c r="EB42" s="35">
        <f t="shared" si="5"/>
        <v>1649.26</v>
      </c>
      <c r="EC42" s="35">
        <f t="shared" si="5"/>
        <v>1649.26</v>
      </c>
      <c r="ED42" s="35">
        <f t="shared" si="5"/>
        <v>4829</v>
      </c>
      <c r="EE42" s="35">
        <f t="shared" si="5"/>
        <v>4766.8890000000001</v>
      </c>
      <c r="EF42" s="35">
        <f t="shared" si="5"/>
        <v>28427.296000000002</v>
      </c>
      <c r="EG42" s="35">
        <f t="shared" ref="EG42:EU42" si="6">SUM(EG3:EG41)</f>
        <v>28369.141</v>
      </c>
      <c r="EH42" s="35">
        <f t="shared" si="6"/>
        <v>3600</v>
      </c>
      <c r="EI42" s="35">
        <f t="shared" si="6"/>
        <v>0</v>
      </c>
      <c r="EJ42" s="35">
        <f t="shared" si="6"/>
        <v>1247.384</v>
      </c>
      <c r="EK42" s="35">
        <f t="shared" si="6"/>
        <v>1247.384</v>
      </c>
      <c r="EL42" s="35">
        <f t="shared" si="6"/>
        <v>40</v>
      </c>
      <c r="EM42" s="35">
        <f t="shared" si="6"/>
        <v>40</v>
      </c>
      <c r="EN42" s="35">
        <f t="shared" si="6"/>
        <v>63.503999999999998</v>
      </c>
      <c r="EO42" s="35">
        <f t="shared" si="6"/>
        <v>63.503999999999998</v>
      </c>
      <c r="EP42" s="35">
        <f t="shared" si="6"/>
        <v>54.9</v>
      </c>
      <c r="EQ42" s="35">
        <f t="shared" si="6"/>
        <v>54.9</v>
      </c>
      <c r="ER42" s="35">
        <f t="shared" si="6"/>
        <v>57848</v>
      </c>
      <c r="ES42" s="35">
        <f t="shared" si="6"/>
        <v>57848</v>
      </c>
      <c r="ET42" s="35">
        <f t="shared" si="6"/>
        <v>2105.1099999999997</v>
      </c>
      <c r="EU42" s="35">
        <f t="shared" si="6"/>
        <v>1263</v>
      </c>
      <c r="EV42" s="222">
        <f t="shared" ref="EV42:EW42" si="7">SUM(EV3:EV41)</f>
        <v>1070018.1529999999</v>
      </c>
      <c r="EW42" s="222">
        <f t="shared" si="7"/>
        <v>1045965.8849999999</v>
      </c>
      <c r="EX42" s="374"/>
      <c r="EY42" s="374"/>
    </row>
    <row r="43" spans="1:155">
      <c r="AR43" s="132"/>
      <c r="AS43" s="132"/>
      <c r="AT43" s="132">
        <f>B42+D42+F42+H42+J42+L42+N42+P42+R42+T42+V42+X42+Z42+AB42+AD42+AF42+AH42+AJ42+AL42+AN42+AP42+AR42+AT42</f>
        <v>479154.15899999999</v>
      </c>
      <c r="AU43" s="132">
        <f>C42+E42+G42+I42+K42+M42+O42+Q42+S42+U42+W42+Y42+AA42+AC42+AE42+AG42+AI42+AK42+AM42+AO42+AQ42+AS42+AU42</f>
        <v>464998.50400000002</v>
      </c>
      <c r="AW43" s="133"/>
      <c r="AX43" s="133"/>
      <c r="AY43" s="133"/>
      <c r="AZ43" s="133">
        <f>AV42+AX42+AZ42</f>
        <v>62232.574999999997</v>
      </c>
      <c r="BA43" s="133">
        <f>AW42+AY42+BA42</f>
        <v>62232.574999999997</v>
      </c>
      <c r="BB43" s="133"/>
      <c r="BC43" s="133"/>
      <c r="BD43" s="133"/>
      <c r="BE43" s="133"/>
      <c r="BF43" s="133"/>
      <c r="BG43" s="133"/>
      <c r="BH43" s="133"/>
      <c r="BI43" s="133"/>
      <c r="BJ43" s="133"/>
      <c r="BK43" s="133"/>
      <c r="BL43" s="133"/>
      <c r="BM43" s="133"/>
      <c r="BN43" s="369"/>
      <c r="BO43" s="369"/>
      <c r="BP43" s="133"/>
      <c r="BQ43" s="133"/>
      <c r="BR43" s="133">
        <f>BB42+BD42+BF42+BH42+BJ42+BN42+BL42+BP42+BR42</f>
        <v>132737.94400000002</v>
      </c>
      <c r="BS43" s="133">
        <f>BC42+BE42+BG42+BI42+BK42+BM42+BO42+BQ42+BS42</f>
        <v>130121.13900000001</v>
      </c>
      <c r="BT43" s="133">
        <f>BT42</f>
        <v>381.47500000000002</v>
      </c>
      <c r="BU43" s="133">
        <f>BU42</f>
        <v>381.47500000000002</v>
      </c>
      <c r="BV43" s="134"/>
      <c r="BW43" s="134"/>
      <c r="BX43" s="134"/>
      <c r="BY43" s="134"/>
      <c r="BZ43" s="134"/>
      <c r="CA43" s="134"/>
      <c r="CB43" s="133">
        <f>BV42+BX42+BZ42+CB42</f>
        <v>7370.5409999999993</v>
      </c>
      <c r="CC43" s="133">
        <f>BW42+BY42+CA42+CC42</f>
        <v>7363.119999999999</v>
      </c>
      <c r="CH43" s="133">
        <f>CD42+CF42+CH42</f>
        <v>0</v>
      </c>
      <c r="CI43" s="133">
        <f>CE42+CG42+CI42</f>
        <v>0</v>
      </c>
      <c r="CX43" s="133">
        <f>CJ42+CL42+CN42+CP42+CR42+CT42+CV42+CX42</f>
        <v>0</v>
      </c>
      <c r="CY43" s="133">
        <f>CK42+CM42+CO42+CQ42+CS42+CU42+CW42+CY42</f>
        <v>0</v>
      </c>
      <c r="DD43" s="133">
        <f>CZ42+DB42+DD42</f>
        <v>67555.73</v>
      </c>
      <c r="DE43" s="133">
        <f>DA42+DC42+DE42</f>
        <v>67555.684999999998</v>
      </c>
      <c r="ET43" s="377">
        <f>CZ42+DB42+DD42+DF42+DH42+DJ42+DL42+DN42+DT42+DV42+DX42+DZ42+EB42+ED42+EF42+EH42+EJ42+EL42+EN42+EP42+ER42+ET42</f>
        <v>413216.24700000009</v>
      </c>
      <c r="EU43" s="377">
        <f>DA42+DC42+DE42+DG42+DI42+DK42+DM42+DO42+DU42+DW42+DY42+EA42+EC42+EE42+EG42+EI42+EK42+EM42+EO42+EQ42+ES42+EU42</f>
        <v>390281.74900000007</v>
      </c>
    </row>
    <row r="44" spans="1:155">
      <c r="ET44" s="375">
        <f>DF42+DH42+DJ42+DL42+DN42+DT42+DV42+DX42+DZ42+EB42+ED42+EF42+EH42+EJ42+EL42+EN42+EP42+ER42+ET42</f>
        <v>345660.51700000011</v>
      </c>
      <c r="EU44" s="375">
        <f>DG42+DI42+DK42+DM42+DO42+DU42+DW42+DY42+EA42+EC42+EE42+EG42+EI42+EK42+EM42+EO42+EQ42+ES42+EU42</f>
        <v>322726.06400000001</v>
      </c>
    </row>
  </sheetData>
  <mergeCells count="76">
    <mergeCell ref="EV2:EW2"/>
    <mergeCell ref="EF2:EG2"/>
    <mergeCell ref="DD2:DE2"/>
    <mergeCell ref="ET2:EU2"/>
    <mergeCell ref="DZ2:EA2"/>
    <mergeCell ref="EB2:EC2"/>
    <mergeCell ref="DL2:DM2"/>
    <mergeCell ref="DH2:DI2"/>
    <mergeCell ref="EN2:EO2"/>
    <mergeCell ref="EH2:EI2"/>
    <mergeCell ref="EP2:EQ2"/>
    <mergeCell ref="ED2:EE2"/>
    <mergeCell ref="EJ2:EK2"/>
    <mergeCell ref="DV2:DW2"/>
    <mergeCell ref="DX2:DY2"/>
    <mergeCell ref="CZ2:DA2"/>
    <mergeCell ref="ER2:ES2"/>
    <mergeCell ref="DF2:DG2"/>
    <mergeCell ref="DP2:DQ2"/>
    <mergeCell ref="DB2:DC2"/>
    <mergeCell ref="DR2:DS2"/>
    <mergeCell ref="EL2:EM2"/>
    <mergeCell ref="DN2:DO2"/>
    <mergeCell ref="DJ2:DK2"/>
    <mergeCell ref="DT2:DU2"/>
    <mergeCell ref="CN2:CO2"/>
    <mergeCell ref="CT2:CU2"/>
    <mergeCell ref="CH2:CI2"/>
    <mergeCell ref="CP2:CQ2"/>
    <mergeCell ref="CX2:CY2"/>
    <mergeCell ref="CV2:CW2"/>
    <mergeCell ref="CR2:CS2"/>
    <mergeCell ref="CL2:CM2"/>
    <mergeCell ref="CF2:CG2"/>
    <mergeCell ref="BP2:BQ2"/>
    <mergeCell ref="AZ2:BA2"/>
    <mergeCell ref="BL2:BM2"/>
    <mergeCell ref="CJ2:CK2"/>
    <mergeCell ref="CD2:CE2"/>
    <mergeCell ref="BF2:BG2"/>
    <mergeCell ref="CB2:CC2"/>
    <mergeCell ref="BV2:BW2"/>
    <mergeCell ref="BN2:BO2"/>
    <mergeCell ref="BZ2:CA2"/>
    <mergeCell ref="BH2:BI2"/>
    <mergeCell ref="BR2:BS2"/>
    <mergeCell ref="BD2:BE2"/>
    <mergeCell ref="D2:E2"/>
    <mergeCell ref="N2:O2"/>
    <mergeCell ref="P2:Q2"/>
    <mergeCell ref="R2:S2"/>
    <mergeCell ref="BB2:BC2"/>
    <mergeCell ref="L2:M2"/>
    <mergeCell ref="F2:G2"/>
    <mergeCell ref="H2:I2"/>
    <mergeCell ref="J2:K2"/>
    <mergeCell ref="AH2:AI2"/>
    <mergeCell ref="AJ2:AK2"/>
    <mergeCell ref="AN2:AO2"/>
    <mergeCell ref="AP2:AQ2"/>
    <mergeCell ref="B2:C2"/>
    <mergeCell ref="AB2:AC2"/>
    <mergeCell ref="BJ2:BK2"/>
    <mergeCell ref="BX2:BY2"/>
    <mergeCell ref="AF2:AG2"/>
    <mergeCell ref="AL2:AM2"/>
    <mergeCell ref="BT2:BU2"/>
    <mergeCell ref="Z2:AA2"/>
    <mergeCell ref="T2:U2"/>
    <mergeCell ref="V2:W2"/>
    <mergeCell ref="AR2:AS2"/>
    <mergeCell ref="X2:Y2"/>
    <mergeCell ref="AD2:AE2"/>
    <mergeCell ref="AT2:AU2"/>
    <mergeCell ref="AV2:AW2"/>
    <mergeCell ref="AX2:AY2"/>
  </mergeCells>
  <pageMargins left="0.31496062992125984" right="0" top="1.1417322834645669" bottom="0.19685039370078741"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dimension ref="A2:CG43"/>
  <sheetViews>
    <sheetView zoomScaleNormal="100" zoomScaleSheetLayoutView="100" workbookViewId="0">
      <pane xSplit="1" ySplit="2" topLeftCell="AG9" activePane="bottomRight" state="frozen"/>
      <selection pane="topRight" activeCell="B1" sqref="B1"/>
      <selection pane="bottomLeft" activeCell="A3" sqref="A3"/>
      <selection pane="bottomRight" activeCell="CF27" sqref="CF27"/>
    </sheetView>
  </sheetViews>
  <sheetFormatPr defaultRowHeight="12.75"/>
  <cols>
    <col min="1" max="1" width="6" style="130" customWidth="1"/>
    <col min="2" max="2" width="7.42578125" style="131" customWidth="1"/>
    <col min="3" max="3" width="8.5703125" style="131" customWidth="1"/>
    <col min="4" max="4" width="7.7109375" style="131" customWidth="1"/>
    <col min="5" max="5" width="8.28515625" style="131" customWidth="1"/>
    <col min="6" max="6" width="7.42578125" style="131" customWidth="1"/>
    <col min="7" max="7" width="6.140625" style="131" customWidth="1"/>
    <col min="8" max="8" width="9.140625" style="131" customWidth="1"/>
    <col min="9" max="9" width="9.28515625" style="131" customWidth="1"/>
    <col min="10" max="10" width="8.42578125" style="131" customWidth="1"/>
    <col min="11" max="11" width="8.28515625" style="131" customWidth="1"/>
    <col min="12" max="12" width="7.42578125" style="131" customWidth="1"/>
    <col min="13" max="13" width="6.28515625" style="131" customWidth="1"/>
    <col min="14" max="14" width="9.140625" style="131" customWidth="1"/>
    <col min="15" max="15" width="7.42578125" style="131" hidden="1" customWidth="1"/>
    <col min="16" max="16" width="7.42578125" style="131" customWidth="1"/>
    <col min="17" max="17" width="9.28515625" style="435" customWidth="1"/>
    <col min="18" max="18" width="8.42578125" style="131" customWidth="1"/>
    <col min="19" max="19" width="6.42578125" style="131" customWidth="1"/>
    <col min="20" max="20" width="7.85546875" style="131" customWidth="1"/>
    <col min="21" max="21" width="6" style="131" customWidth="1"/>
    <col min="22" max="22" width="6.7109375" style="131" customWidth="1"/>
    <col min="23" max="24" width="8.42578125" style="131" customWidth="1"/>
    <col min="25" max="25" width="6" style="131" customWidth="1"/>
    <col min="26" max="26" width="8.28515625" style="131" customWidth="1"/>
    <col min="27" max="27" width="8.28515625" style="435" customWidth="1"/>
    <col min="28" max="28" width="8.7109375" style="131" customWidth="1"/>
    <col min="29" max="29" width="8.28515625" style="36" customWidth="1"/>
    <col min="30" max="30" width="8.42578125" style="36" customWidth="1"/>
    <col min="31" max="31" width="7.85546875" style="36" bestFit="1" customWidth="1"/>
    <col min="32" max="33" width="8.140625" style="36" customWidth="1"/>
    <col min="34" max="34" width="6.28515625" style="36" customWidth="1"/>
    <col min="35" max="35" width="6" style="36" customWidth="1"/>
    <col min="36" max="36" width="8.28515625" style="36" customWidth="1"/>
    <col min="37" max="39" width="7.28515625" style="36" customWidth="1"/>
    <col min="40" max="40" width="7.7109375" style="36" customWidth="1"/>
    <col min="41" max="41" width="7.7109375" style="350" customWidth="1"/>
    <col min="42" max="42" width="6" style="36" customWidth="1"/>
    <col min="43" max="43" width="7.7109375" style="36" customWidth="1"/>
    <col min="44" max="44" width="7.85546875" style="36" customWidth="1"/>
    <col min="45" max="45" width="6" style="36" customWidth="1"/>
    <col min="46" max="46" width="7" style="36" bestFit="1" customWidth="1"/>
    <col min="47" max="47" width="5.28515625" style="36" hidden="1" customWidth="1"/>
    <col min="48" max="48" width="7.140625" style="36" hidden="1" customWidth="1"/>
    <col min="49" max="49" width="6.140625" style="36" hidden="1" customWidth="1"/>
    <col min="50" max="50" width="7.5703125" style="36" hidden="1" customWidth="1"/>
    <col min="51" max="51" width="4.42578125" style="36" hidden="1" customWidth="1"/>
    <col min="52" max="52" width="7.42578125" style="36" hidden="1" customWidth="1"/>
    <col min="53" max="53" width="8.28515625" style="36" hidden="1" customWidth="1"/>
    <col min="54" max="55" width="7.42578125" style="36" hidden="1" customWidth="1"/>
    <col min="56" max="56" width="6" style="36" hidden="1" customWidth="1"/>
    <col min="57" max="57" width="8.140625" style="36" hidden="1" customWidth="1"/>
    <col min="58" max="58" width="7.7109375" style="36" hidden="1" customWidth="1"/>
    <col min="59" max="59" width="8.5703125" style="36" hidden="1" customWidth="1"/>
    <col min="60" max="60" width="9.5703125" style="36" hidden="1" customWidth="1"/>
    <col min="61" max="61" width="8.5703125" style="36" hidden="1" customWidth="1"/>
    <col min="62" max="62" width="7.140625" style="36" hidden="1" customWidth="1"/>
    <col min="63" max="63" width="7.42578125" style="36" hidden="1" customWidth="1"/>
    <col min="64" max="64" width="7.85546875" style="36" hidden="1" customWidth="1"/>
    <col min="65" max="65" width="6.28515625" style="36" hidden="1" customWidth="1"/>
    <col min="66" max="66" width="8.5703125" style="36" customWidth="1"/>
    <col min="67" max="67" width="8.140625" style="36" customWidth="1"/>
    <col min="68" max="68" width="6.140625" style="36" customWidth="1"/>
    <col min="69" max="69" width="8.5703125" style="36" customWidth="1"/>
    <col min="70" max="70" width="4" style="36" hidden="1" customWidth="1"/>
    <col min="71" max="71" width="4.42578125" style="36" hidden="1" customWidth="1"/>
    <col min="72" max="72" width="8.42578125" style="36" customWidth="1"/>
    <col min="73" max="73" width="9.140625" style="36" hidden="1" customWidth="1"/>
    <col min="74" max="74" width="7.42578125" style="36" hidden="1" customWidth="1"/>
    <col min="75" max="75" width="6.140625" style="36" hidden="1" customWidth="1"/>
    <col min="76" max="76" width="8.85546875" style="36" customWidth="1"/>
    <col min="77" max="77" width="8.42578125" style="36" customWidth="1"/>
    <col min="78" max="79" width="7.42578125" style="36" hidden="1" customWidth="1"/>
    <col min="80" max="80" width="4.42578125" style="36" hidden="1" customWidth="1"/>
    <col min="81" max="81" width="8.42578125" style="36" customWidth="1"/>
    <col min="82" max="82" width="8.42578125" style="36" hidden="1" customWidth="1"/>
    <col min="83" max="83" width="7.5703125" style="36" hidden="1" customWidth="1"/>
    <col min="84" max="84" width="10.5703125" style="36" customWidth="1"/>
    <col min="85" max="85" width="10.140625" style="36" bestFit="1" customWidth="1"/>
    <col min="86" max="16384" width="9.140625" style="36"/>
  </cols>
  <sheetData>
    <row r="2" spans="1:84" s="127" customFormat="1">
      <c r="A2" s="126"/>
      <c r="B2" s="393" t="s">
        <v>34</v>
      </c>
      <c r="C2" s="393" t="s">
        <v>393</v>
      </c>
      <c r="D2" s="393" t="s">
        <v>39</v>
      </c>
      <c r="E2" s="393" t="s">
        <v>602</v>
      </c>
      <c r="F2" s="393" t="s">
        <v>388</v>
      </c>
      <c r="G2" s="393" t="s">
        <v>42</v>
      </c>
      <c r="H2" s="393" t="s">
        <v>746</v>
      </c>
      <c r="I2" s="393" t="s">
        <v>386</v>
      </c>
      <c r="J2" s="393" t="s">
        <v>568</v>
      </c>
      <c r="K2" s="393" t="s">
        <v>612</v>
      </c>
      <c r="L2" s="393" t="s">
        <v>574</v>
      </c>
      <c r="M2" s="393" t="s">
        <v>44</v>
      </c>
      <c r="N2" s="393" t="s">
        <v>575</v>
      </c>
      <c r="O2" s="393" t="s">
        <v>854</v>
      </c>
      <c r="P2" s="393" t="s">
        <v>739</v>
      </c>
      <c r="Q2" s="423" t="s">
        <v>1409</v>
      </c>
      <c r="R2" s="393" t="s">
        <v>567</v>
      </c>
      <c r="S2" s="393" t="s">
        <v>1040</v>
      </c>
      <c r="T2" s="393" t="s">
        <v>744</v>
      </c>
      <c r="U2" s="393" t="s">
        <v>745</v>
      </c>
      <c r="V2" s="393" t="s">
        <v>623</v>
      </c>
      <c r="W2" s="393" t="s">
        <v>627</v>
      </c>
      <c r="X2" s="393" t="s">
        <v>749</v>
      </c>
      <c r="Y2" s="393" t="s">
        <v>45</v>
      </c>
      <c r="Z2" s="393" t="s">
        <v>747</v>
      </c>
      <c r="AA2" s="423" t="s">
        <v>1416</v>
      </c>
      <c r="AB2" s="393" t="s">
        <v>1204</v>
      </c>
      <c r="AC2" s="393" t="s">
        <v>48</v>
      </c>
      <c r="AD2" s="393" t="s">
        <v>748</v>
      </c>
      <c r="AE2" s="393" t="s">
        <v>736</v>
      </c>
      <c r="AF2" s="393" t="s">
        <v>564</v>
      </c>
      <c r="AG2" s="393" t="s">
        <v>569</v>
      </c>
      <c r="AH2" s="393" t="s">
        <v>773</v>
      </c>
      <c r="AI2" s="393" t="s">
        <v>565</v>
      </c>
      <c r="AJ2" s="393" t="s">
        <v>740</v>
      </c>
      <c r="AK2" s="393" t="s">
        <v>737</v>
      </c>
      <c r="AL2" s="393" t="s">
        <v>1116</v>
      </c>
      <c r="AM2" s="393" t="s">
        <v>735</v>
      </c>
      <c r="AN2" s="393" t="s">
        <v>738</v>
      </c>
      <c r="AO2" s="423" t="s">
        <v>1415</v>
      </c>
      <c r="AP2" s="393" t="s">
        <v>566</v>
      </c>
      <c r="AQ2" s="393" t="s">
        <v>52</v>
      </c>
      <c r="AR2" s="393" t="s">
        <v>741</v>
      </c>
      <c r="AS2" s="393" t="s">
        <v>742</v>
      </c>
      <c r="AT2" s="393" t="s">
        <v>743</v>
      </c>
      <c r="AU2" s="393" t="s">
        <v>751</v>
      </c>
      <c r="AV2" s="393" t="s">
        <v>759</v>
      </c>
      <c r="AW2" s="393" t="s">
        <v>1205</v>
      </c>
      <c r="AX2" s="393" t="s">
        <v>754</v>
      </c>
      <c r="AY2" s="393" t="s">
        <v>857</v>
      </c>
      <c r="AZ2" s="393" t="s">
        <v>576</v>
      </c>
      <c r="BA2" s="393" t="s">
        <v>750</v>
      </c>
      <c r="BB2" s="393" t="s">
        <v>752</v>
      </c>
      <c r="BC2" s="393" t="s">
        <v>755</v>
      </c>
      <c r="BD2" s="393" t="s">
        <v>910</v>
      </c>
      <c r="BE2" s="393" t="s">
        <v>758</v>
      </c>
      <c r="BF2" s="393" t="s">
        <v>753</v>
      </c>
      <c r="BG2" s="393" t="s">
        <v>909</v>
      </c>
      <c r="BH2" s="393" t="s">
        <v>756</v>
      </c>
      <c r="BI2" s="393" t="s">
        <v>772</v>
      </c>
      <c r="BJ2" s="393" t="s">
        <v>855</v>
      </c>
      <c r="BK2" s="393" t="s">
        <v>761</v>
      </c>
      <c r="BL2" s="393" t="s">
        <v>769</v>
      </c>
      <c r="BM2" s="393" t="s">
        <v>760</v>
      </c>
      <c r="BN2" s="393" t="s">
        <v>767</v>
      </c>
      <c r="BO2" s="393" t="s">
        <v>764</v>
      </c>
      <c r="BP2" s="393" t="s">
        <v>676</v>
      </c>
      <c r="BQ2" s="393" t="s">
        <v>677</v>
      </c>
      <c r="BR2" s="393" t="s">
        <v>680</v>
      </c>
      <c r="BS2" s="393" t="s">
        <v>762</v>
      </c>
      <c r="BT2" s="393" t="s">
        <v>765</v>
      </c>
      <c r="BU2" s="393" t="s">
        <v>911</v>
      </c>
      <c r="BV2" s="393" t="s">
        <v>771</v>
      </c>
      <c r="BW2" s="393" t="s">
        <v>687</v>
      </c>
      <c r="BX2" s="393" t="s">
        <v>1119</v>
      </c>
      <c r="BY2" s="393" t="s">
        <v>768</v>
      </c>
      <c r="BZ2" s="393" t="s">
        <v>856</v>
      </c>
      <c r="CA2" s="393" t="s">
        <v>949</v>
      </c>
      <c r="CB2" s="393" t="s">
        <v>763</v>
      </c>
      <c r="CC2" s="393" t="s">
        <v>1117</v>
      </c>
      <c r="CD2" s="393" t="s">
        <v>702</v>
      </c>
      <c r="CE2" s="393" t="s">
        <v>770</v>
      </c>
      <c r="CF2" s="392" t="s">
        <v>406</v>
      </c>
    </row>
    <row r="3" spans="1:84">
      <c r="A3" s="128" t="s">
        <v>379</v>
      </c>
      <c r="B3" s="35"/>
      <c r="C3" s="35"/>
      <c r="D3" s="35"/>
      <c r="E3" s="35"/>
      <c r="F3" s="35"/>
      <c r="G3" s="35"/>
      <c r="H3" s="35"/>
      <c r="I3" s="35"/>
      <c r="J3" s="35"/>
      <c r="K3" s="35"/>
      <c r="L3" s="35"/>
      <c r="M3" s="35"/>
      <c r="N3" s="35"/>
      <c r="O3" s="35"/>
      <c r="P3" s="35"/>
      <c r="Q3" s="349"/>
      <c r="R3" s="35"/>
      <c r="S3" s="35"/>
      <c r="T3" s="35"/>
      <c r="U3" s="35"/>
      <c r="V3" s="35"/>
      <c r="W3" s="35"/>
      <c r="X3" s="35"/>
      <c r="Y3" s="35"/>
      <c r="Z3" s="35"/>
      <c r="AA3" s="349"/>
      <c r="AB3" s="35"/>
      <c r="AC3" s="35"/>
      <c r="AD3" s="35"/>
      <c r="AE3" s="35"/>
      <c r="AF3" s="35">
        <v>571.79999999999995</v>
      </c>
      <c r="AG3" s="35">
        <v>1900.3</v>
      </c>
      <c r="AH3" s="35"/>
      <c r="AI3" s="35"/>
      <c r="AJ3" s="35"/>
      <c r="AK3" s="35"/>
      <c r="AL3" s="35"/>
      <c r="AM3" s="35"/>
      <c r="AN3" s="35"/>
      <c r="AO3" s="349"/>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436">
        <f>SUM(B3:CE3)</f>
        <v>2472.1</v>
      </c>
    </row>
    <row r="4" spans="1:84">
      <c r="A4" s="128" t="s">
        <v>380</v>
      </c>
      <c r="B4" s="35"/>
      <c r="C4" s="35"/>
      <c r="D4" s="35"/>
      <c r="E4" s="35"/>
      <c r="F4" s="35"/>
      <c r="G4" s="35"/>
      <c r="H4" s="35"/>
      <c r="I4" s="35"/>
      <c r="J4" s="35"/>
      <c r="K4" s="35"/>
      <c r="L4" s="35"/>
      <c r="M4" s="35"/>
      <c r="N4" s="35"/>
      <c r="O4" s="35"/>
      <c r="P4" s="35"/>
      <c r="Q4" s="349"/>
      <c r="R4" s="35"/>
      <c r="S4" s="35"/>
      <c r="T4" s="35"/>
      <c r="U4" s="35"/>
      <c r="V4" s="35"/>
      <c r="W4" s="35"/>
      <c r="X4" s="35"/>
      <c r="Y4" s="35"/>
      <c r="Z4" s="35"/>
      <c r="AA4" s="349"/>
      <c r="AB4" s="35"/>
      <c r="AC4" s="35"/>
      <c r="AD4" s="35"/>
      <c r="AE4" s="35"/>
      <c r="AF4" s="35">
        <f>628.5+450.655</f>
        <v>1079.155</v>
      </c>
      <c r="AG4" s="35">
        <v>1453.2449999999999</v>
      </c>
      <c r="AH4" s="35"/>
      <c r="AI4" s="35"/>
      <c r="AJ4" s="35"/>
      <c r="AK4" s="35"/>
      <c r="AL4" s="35"/>
      <c r="AM4" s="35">
        <v>50</v>
      </c>
      <c r="AN4" s="35"/>
      <c r="AO4" s="349"/>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436">
        <f t="shared" ref="CF4:CF41" si="0">SUM(B4:CE4)</f>
        <v>2582.3999999999996</v>
      </c>
    </row>
    <row r="5" spans="1:84">
      <c r="A5" s="128" t="s">
        <v>381</v>
      </c>
      <c r="B5" s="35"/>
      <c r="C5" s="35"/>
      <c r="D5" s="35"/>
      <c r="E5" s="35"/>
      <c r="F5" s="35"/>
      <c r="G5" s="35"/>
      <c r="H5" s="35"/>
      <c r="I5" s="35"/>
      <c r="J5" s="35"/>
      <c r="K5" s="35"/>
      <c r="L5" s="35"/>
      <c r="M5" s="35"/>
      <c r="N5" s="35"/>
      <c r="O5" s="35"/>
      <c r="P5" s="35"/>
      <c r="Q5" s="349"/>
      <c r="R5" s="35"/>
      <c r="S5" s="35"/>
      <c r="T5" s="35"/>
      <c r="U5" s="35"/>
      <c r="V5" s="35"/>
      <c r="W5" s="35"/>
      <c r="X5" s="35"/>
      <c r="Y5" s="35"/>
      <c r="Z5" s="35"/>
      <c r="AA5" s="349"/>
      <c r="AB5" s="35"/>
      <c r="AC5" s="35"/>
      <c r="AD5" s="35"/>
      <c r="AE5" s="35"/>
      <c r="AF5" s="35">
        <f>90+23097.739+286.6</f>
        <v>23474.339</v>
      </c>
      <c r="AG5" s="35">
        <v>29183.35</v>
      </c>
      <c r="AH5" s="35"/>
      <c r="AI5" s="35">
        <v>910</v>
      </c>
      <c r="AJ5" s="35"/>
      <c r="AK5" s="35"/>
      <c r="AL5" s="35"/>
      <c r="AM5" s="35">
        <v>966</v>
      </c>
      <c r="AN5" s="35"/>
      <c r="AO5" s="349"/>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436">
        <f t="shared" si="0"/>
        <v>54533.688999999998</v>
      </c>
    </row>
    <row r="6" spans="1:84">
      <c r="A6" s="128" t="s">
        <v>445</v>
      </c>
      <c r="B6" s="35"/>
      <c r="C6" s="35"/>
      <c r="D6" s="35"/>
      <c r="E6" s="35"/>
      <c r="F6" s="35"/>
      <c r="G6" s="35"/>
      <c r="H6" s="35"/>
      <c r="I6" s="35"/>
      <c r="J6" s="35"/>
      <c r="K6" s="35"/>
      <c r="L6" s="35"/>
      <c r="M6" s="35"/>
      <c r="N6" s="35"/>
      <c r="O6" s="35"/>
      <c r="P6" s="35"/>
      <c r="Q6" s="349"/>
      <c r="R6" s="35"/>
      <c r="S6" s="35"/>
      <c r="T6" s="35"/>
      <c r="U6" s="35"/>
      <c r="V6" s="35"/>
      <c r="W6" s="35"/>
      <c r="X6" s="35"/>
      <c r="Y6" s="35"/>
      <c r="Z6" s="35"/>
      <c r="AA6" s="349"/>
      <c r="AB6" s="35"/>
      <c r="AC6" s="35"/>
      <c r="AD6" s="35"/>
      <c r="AE6" s="35"/>
      <c r="AF6" s="35"/>
      <c r="AG6" s="35"/>
      <c r="AH6" s="35"/>
      <c r="AI6" s="35"/>
      <c r="AJ6" s="35"/>
      <c r="AK6" s="35"/>
      <c r="AL6" s="35"/>
      <c r="AM6" s="35"/>
      <c r="AN6" s="35"/>
      <c r="AO6" s="349"/>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222">
        <f t="shared" si="0"/>
        <v>0</v>
      </c>
    </row>
    <row r="7" spans="1:84">
      <c r="A7" s="128" t="s">
        <v>382</v>
      </c>
      <c r="B7" s="35"/>
      <c r="C7" s="35"/>
      <c r="D7" s="35"/>
      <c r="E7" s="35"/>
      <c r="F7" s="35"/>
      <c r="G7" s="35"/>
      <c r="H7" s="35"/>
      <c r="I7" s="35"/>
      <c r="J7" s="35"/>
      <c r="K7" s="35"/>
      <c r="L7" s="35"/>
      <c r="M7" s="35"/>
      <c r="N7" s="35"/>
      <c r="O7" s="35"/>
      <c r="P7" s="35"/>
      <c r="Q7" s="349"/>
      <c r="R7" s="35"/>
      <c r="S7" s="35"/>
      <c r="T7" s="35"/>
      <c r="U7" s="35"/>
      <c r="V7" s="35"/>
      <c r="W7" s="35"/>
      <c r="X7" s="35"/>
      <c r="Y7" s="35"/>
      <c r="Z7" s="35"/>
      <c r="AA7" s="349"/>
      <c r="AB7" s="35"/>
      <c r="AC7" s="35"/>
      <c r="AD7" s="35"/>
      <c r="AE7" s="35"/>
      <c r="AF7" s="35">
        <f>5755.918+256.491</f>
        <v>6012.4089999999997</v>
      </c>
      <c r="AG7" s="35">
        <f>14566.782+849.209</f>
        <v>15415.991</v>
      </c>
      <c r="AH7" s="35"/>
      <c r="AI7" s="35"/>
      <c r="AJ7" s="35"/>
      <c r="AK7" s="35"/>
      <c r="AL7" s="35"/>
      <c r="AM7" s="35">
        <v>663.3</v>
      </c>
      <c r="AN7" s="35"/>
      <c r="AO7" s="349"/>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436">
        <f t="shared" si="0"/>
        <v>22091.7</v>
      </c>
    </row>
    <row r="8" spans="1:84">
      <c r="A8" s="128" t="s">
        <v>453</v>
      </c>
      <c r="B8" s="35"/>
      <c r="C8" s="35"/>
      <c r="D8" s="35"/>
      <c r="E8" s="35"/>
      <c r="F8" s="35"/>
      <c r="G8" s="35"/>
      <c r="H8" s="35"/>
      <c r="I8" s="35"/>
      <c r="J8" s="35"/>
      <c r="K8" s="35"/>
      <c r="L8" s="35"/>
      <c r="M8" s="35"/>
      <c r="N8" s="35"/>
      <c r="O8" s="35"/>
      <c r="P8" s="35"/>
      <c r="Q8" s="349"/>
      <c r="R8" s="35"/>
      <c r="S8" s="35"/>
      <c r="T8" s="35"/>
      <c r="U8" s="35"/>
      <c r="V8" s="35"/>
      <c r="W8" s="35"/>
      <c r="X8" s="35"/>
      <c r="Y8" s="35"/>
      <c r="Z8" s="35"/>
      <c r="AA8" s="349"/>
      <c r="AB8" s="35"/>
      <c r="AC8" s="35"/>
      <c r="AD8" s="35"/>
      <c r="AE8" s="35"/>
      <c r="AF8" s="35"/>
      <c r="AG8" s="35"/>
      <c r="AH8" s="35"/>
      <c r="AI8" s="35"/>
      <c r="AJ8" s="35"/>
      <c r="AK8" s="35">
        <v>2804.1</v>
      </c>
      <c r="AL8" s="35"/>
      <c r="AM8" s="35"/>
      <c r="AN8" s="35"/>
      <c r="AO8" s="349"/>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436">
        <f t="shared" si="0"/>
        <v>2804.1</v>
      </c>
    </row>
    <row r="9" spans="1:84">
      <c r="A9" s="128" t="s">
        <v>383</v>
      </c>
      <c r="B9" s="35"/>
      <c r="C9" s="35"/>
      <c r="D9" s="35"/>
      <c r="E9" s="35"/>
      <c r="F9" s="35"/>
      <c r="G9" s="35"/>
      <c r="H9" s="35"/>
      <c r="I9" s="35"/>
      <c r="J9" s="35"/>
      <c r="K9" s="35"/>
      <c r="L9" s="35"/>
      <c r="M9" s="35"/>
      <c r="N9" s="35"/>
      <c r="O9" s="35"/>
      <c r="P9" s="35"/>
      <c r="Q9" s="349"/>
      <c r="R9" s="35"/>
      <c r="S9" s="35"/>
      <c r="T9" s="35"/>
      <c r="U9" s="35"/>
      <c r="V9" s="35"/>
      <c r="W9" s="35"/>
      <c r="X9" s="35"/>
      <c r="Y9" s="35"/>
      <c r="Z9" s="35"/>
      <c r="AA9" s="349"/>
      <c r="AB9" s="35"/>
      <c r="AC9" s="35"/>
      <c r="AD9" s="35"/>
      <c r="AE9" s="35"/>
      <c r="AF9" s="35"/>
      <c r="AG9" s="35"/>
      <c r="AH9" s="35"/>
      <c r="AI9" s="35"/>
      <c r="AJ9" s="35"/>
      <c r="AK9" s="35"/>
      <c r="AL9" s="35"/>
      <c r="AM9" s="35"/>
      <c r="AN9" s="35">
        <v>1500</v>
      </c>
      <c r="AO9" s="349"/>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436">
        <f t="shared" si="0"/>
        <v>1500</v>
      </c>
    </row>
    <row r="10" spans="1:84">
      <c r="A10" s="128" t="s">
        <v>384</v>
      </c>
      <c r="B10" s="35">
        <v>3361.8789999999999</v>
      </c>
      <c r="C10" s="35"/>
      <c r="D10" s="35"/>
      <c r="E10" s="35"/>
      <c r="F10" s="35"/>
      <c r="G10" s="35"/>
      <c r="H10" s="35"/>
      <c r="I10" s="35"/>
      <c r="J10" s="35"/>
      <c r="K10" s="35"/>
      <c r="L10" s="35"/>
      <c r="M10" s="35"/>
      <c r="N10" s="35"/>
      <c r="O10" s="35"/>
      <c r="P10" s="35">
        <f>2400.6+29.5</f>
        <v>2430.1</v>
      </c>
      <c r="Q10" s="349"/>
      <c r="R10" s="35"/>
      <c r="S10" s="35"/>
      <c r="T10" s="35"/>
      <c r="U10" s="35"/>
      <c r="V10" s="35"/>
      <c r="W10" s="35"/>
      <c r="X10" s="35"/>
      <c r="Y10" s="35"/>
      <c r="Z10" s="35"/>
      <c r="AA10" s="349"/>
      <c r="AB10" s="35"/>
      <c r="AC10" s="35"/>
      <c r="AD10" s="35"/>
      <c r="AE10" s="35"/>
      <c r="AF10" s="35"/>
      <c r="AG10" s="35"/>
      <c r="AH10" s="35"/>
      <c r="AI10" s="35"/>
      <c r="AJ10" s="35">
        <f>2845.5+9152.3</f>
        <v>11997.8</v>
      </c>
      <c r="AK10" s="35"/>
      <c r="AL10" s="35"/>
      <c r="AM10" s="35">
        <f>160+150</f>
        <v>310</v>
      </c>
      <c r="AN10" s="35"/>
      <c r="AO10" s="349">
        <f>127.034+15</f>
        <v>142.03399999999999</v>
      </c>
      <c r="AP10" s="35"/>
      <c r="AQ10" s="35"/>
      <c r="AR10" s="35">
        <v>2080.5</v>
      </c>
      <c r="AS10" s="35"/>
      <c r="AT10" s="35">
        <v>189.38399999999999</v>
      </c>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436">
        <f t="shared" si="0"/>
        <v>20511.696999999996</v>
      </c>
    </row>
    <row r="11" spans="1:84">
      <c r="A11" s="128" t="s">
        <v>407</v>
      </c>
      <c r="B11" s="35"/>
      <c r="C11" s="35"/>
      <c r="D11" s="35"/>
      <c r="E11" s="35"/>
      <c r="F11" s="35"/>
      <c r="G11" s="35"/>
      <c r="H11" s="35"/>
      <c r="I11" s="35"/>
      <c r="J11" s="35"/>
      <c r="K11" s="35"/>
      <c r="L11" s="35"/>
      <c r="M11" s="35"/>
      <c r="N11" s="35"/>
      <c r="O11" s="35"/>
      <c r="P11" s="35"/>
      <c r="Q11" s="349"/>
      <c r="R11" s="35"/>
      <c r="S11" s="35"/>
      <c r="T11" s="35"/>
      <c r="U11" s="35"/>
      <c r="V11" s="35"/>
      <c r="W11" s="35"/>
      <c r="X11" s="35"/>
      <c r="Y11" s="35"/>
      <c r="Z11" s="35"/>
      <c r="AA11" s="349"/>
      <c r="AB11" s="35"/>
      <c r="AC11" s="35"/>
      <c r="AD11" s="35"/>
      <c r="AE11" s="35"/>
      <c r="AF11" s="35"/>
      <c r="AG11" s="35"/>
      <c r="AH11" s="35"/>
      <c r="AI11" s="35"/>
      <c r="AJ11" s="35"/>
      <c r="AK11" s="35"/>
      <c r="AL11" s="35"/>
      <c r="AM11" s="35"/>
      <c r="AN11" s="35"/>
      <c r="AO11" s="349"/>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222">
        <f t="shared" si="0"/>
        <v>0</v>
      </c>
    </row>
    <row r="12" spans="1:84">
      <c r="A12" s="128" t="s">
        <v>387</v>
      </c>
      <c r="B12" s="35"/>
      <c r="C12" s="35"/>
      <c r="D12" s="35"/>
      <c r="E12" s="35"/>
      <c r="F12" s="35"/>
      <c r="G12" s="35">
        <v>50</v>
      </c>
      <c r="H12" s="35"/>
      <c r="I12" s="35"/>
      <c r="J12" s="35"/>
      <c r="K12" s="35"/>
      <c r="L12" s="35"/>
      <c r="M12" s="35"/>
      <c r="N12" s="35"/>
      <c r="O12" s="35"/>
      <c r="P12" s="35"/>
      <c r="Q12" s="349"/>
      <c r="R12" s="35"/>
      <c r="S12" s="35"/>
      <c r="T12" s="35"/>
      <c r="U12" s="35"/>
      <c r="V12" s="35"/>
      <c r="W12" s="35"/>
      <c r="X12" s="35"/>
      <c r="Y12" s="35"/>
      <c r="Z12" s="35"/>
      <c r="AA12" s="349"/>
      <c r="AB12" s="35"/>
      <c r="AC12" s="35"/>
      <c r="AD12" s="35"/>
      <c r="AE12" s="35"/>
      <c r="AF12" s="35"/>
      <c r="AG12" s="35"/>
      <c r="AH12" s="35"/>
      <c r="AI12" s="35"/>
      <c r="AJ12" s="35"/>
      <c r="AK12" s="35"/>
      <c r="AL12" s="35"/>
      <c r="AM12" s="35"/>
      <c r="AN12" s="35"/>
      <c r="AO12" s="349"/>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436">
        <f t="shared" si="0"/>
        <v>50</v>
      </c>
    </row>
    <row r="13" spans="1:84">
      <c r="A13" s="128" t="s">
        <v>408</v>
      </c>
      <c r="B13" s="35"/>
      <c r="C13" s="35"/>
      <c r="D13" s="35"/>
      <c r="E13" s="35"/>
      <c r="F13" s="35"/>
      <c r="G13" s="35">
        <v>358.1</v>
      </c>
      <c r="H13" s="35"/>
      <c r="I13" s="35"/>
      <c r="J13" s="35"/>
      <c r="K13" s="35"/>
      <c r="L13" s="35"/>
      <c r="M13" s="35"/>
      <c r="N13" s="35"/>
      <c r="O13" s="35"/>
      <c r="P13" s="35"/>
      <c r="Q13" s="349"/>
      <c r="R13" s="35"/>
      <c r="S13" s="35"/>
      <c r="T13" s="35"/>
      <c r="U13" s="35"/>
      <c r="V13" s="35"/>
      <c r="W13" s="35"/>
      <c r="X13" s="35"/>
      <c r="Y13" s="35"/>
      <c r="Z13" s="35"/>
      <c r="AA13" s="349"/>
      <c r="AB13" s="35"/>
      <c r="AC13" s="35"/>
      <c r="AD13" s="35"/>
      <c r="AE13" s="35"/>
      <c r="AF13" s="35"/>
      <c r="AG13" s="35"/>
      <c r="AH13" s="35"/>
      <c r="AI13" s="35"/>
      <c r="AJ13" s="35"/>
      <c r="AK13" s="35"/>
      <c r="AL13" s="35"/>
      <c r="AM13" s="35"/>
      <c r="AN13" s="35"/>
      <c r="AO13" s="349"/>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436">
        <f t="shared" si="0"/>
        <v>358.1</v>
      </c>
    </row>
    <row r="14" spans="1:84">
      <c r="A14" s="128" t="s">
        <v>410</v>
      </c>
      <c r="B14" s="35"/>
      <c r="C14" s="35"/>
      <c r="D14" s="35"/>
      <c r="E14" s="35"/>
      <c r="F14" s="35"/>
      <c r="G14" s="35"/>
      <c r="H14" s="35"/>
      <c r="I14" s="35"/>
      <c r="J14" s="35"/>
      <c r="K14" s="35"/>
      <c r="L14" s="35"/>
      <c r="M14" s="35"/>
      <c r="N14" s="35"/>
      <c r="O14" s="35"/>
      <c r="P14" s="35"/>
      <c r="Q14" s="349"/>
      <c r="R14" s="35"/>
      <c r="S14" s="35"/>
      <c r="T14" s="35"/>
      <c r="U14" s="35"/>
      <c r="V14" s="35"/>
      <c r="W14" s="35"/>
      <c r="X14" s="35"/>
      <c r="Y14" s="35"/>
      <c r="Z14" s="35"/>
      <c r="AA14" s="349"/>
      <c r="AB14" s="35"/>
      <c r="AC14" s="35"/>
      <c r="AD14" s="35"/>
      <c r="AE14" s="35"/>
      <c r="AF14" s="35"/>
      <c r="AG14" s="35"/>
      <c r="AH14" s="35"/>
      <c r="AI14" s="35"/>
      <c r="AJ14" s="35"/>
      <c r="AK14" s="35"/>
      <c r="AL14" s="35"/>
      <c r="AM14" s="35"/>
      <c r="AN14" s="35"/>
      <c r="AO14" s="349"/>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222">
        <f t="shared" si="0"/>
        <v>0</v>
      </c>
    </row>
    <row r="15" spans="1:84">
      <c r="A15" s="128" t="s">
        <v>389</v>
      </c>
      <c r="B15" s="35"/>
      <c r="C15" s="35"/>
      <c r="D15" s="35"/>
      <c r="E15" s="35"/>
      <c r="F15" s="35"/>
      <c r="G15" s="35"/>
      <c r="H15" s="35"/>
      <c r="I15" s="35"/>
      <c r="J15" s="35"/>
      <c r="K15" s="35"/>
      <c r="L15" s="35"/>
      <c r="M15" s="35"/>
      <c r="N15" s="35"/>
      <c r="O15" s="35"/>
      <c r="P15" s="35"/>
      <c r="Q15" s="349">
        <f>13548.503+41124.5</f>
        <v>54673.002999999997</v>
      </c>
      <c r="R15" s="35"/>
      <c r="S15" s="35"/>
      <c r="T15" s="35"/>
      <c r="U15" s="35">
        <v>355</v>
      </c>
      <c r="V15" s="35"/>
      <c r="W15" s="35"/>
      <c r="X15" s="35"/>
      <c r="Y15" s="35"/>
      <c r="Z15" s="35"/>
      <c r="AA15" s="349">
        <v>43.8</v>
      </c>
      <c r="AB15" s="35">
        <v>1575</v>
      </c>
      <c r="AC15" s="35"/>
      <c r="AD15" s="35"/>
      <c r="AE15" s="35"/>
      <c r="AF15" s="35"/>
      <c r="AG15" s="35"/>
      <c r="AH15" s="35"/>
      <c r="AI15" s="35"/>
      <c r="AJ15" s="35"/>
      <c r="AK15" s="35"/>
      <c r="AL15" s="35"/>
      <c r="AM15" s="35"/>
      <c r="AN15" s="35"/>
      <c r="AO15" s="349"/>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436">
        <f t="shared" si="0"/>
        <v>56646.803</v>
      </c>
    </row>
    <row r="16" spans="1:84">
      <c r="A16" s="128" t="s">
        <v>390</v>
      </c>
      <c r="B16" s="35"/>
      <c r="C16" s="35"/>
      <c r="D16" s="35"/>
      <c r="E16" s="35"/>
      <c r="F16" s="35"/>
      <c r="G16" s="35"/>
      <c r="H16" s="35"/>
      <c r="I16" s="35"/>
      <c r="J16" s="35"/>
      <c r="K16" s="35"/>
      <c r="L16" s="35"/>
      <c r="M16" s="35"/>
      <c r="N16" s="35"/>
      <c r="O16" s="35"/>
      <c r="P16" s="35"/>
      <c r="Q16" s="349"/>
      <c r="R16" s="35"/>
      <c r="S16" s="35"/>
      <c r="T16" s="35">
        <v>1000</v>
      </c>
      <c r="U16" s="35"/>
      <c r="V16" s="35"/>
      <c r="W16" s="35"/>
      <c r="X16" s="35"/>
      <c r="Y16" s="35"/>
      <c r="Z16" s="35"/>
      <c r="AA16" s="349"/>
      <c r="AB16" s="35"/>
      <c r="AC16" s="35"/>
      <c r="AD16" s="35"/>
      <c r="AE16" s="35"/>
      <c r="AF16" s="35"/>
      <c r="AG16" s="35"/>
      <c r="AH16" s="35"/>
      <c r="AI16" s="35"/>
      <c r="AJ16" s="35"/>
      <c r="AK16" s="35"/>
      <c r="AL16" s="35"/>
      <c r="AM16" s="35"/>
      <c r="AN16" s="35"/>
      <c r="AO16" s="349"/>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436">
        <f t="shared" si="0"/>
        <v>1000</v>
      </c>
    </row>
    <row r="17" spans="1:84">
      <c r="A17" s="128" t="s">
        <v>391</v>
      </c>
      <c r="B17" s="35"/>
      <c r="C17" s="35"/>
      <c r="D17" s="35"/>
      <c r="E17" s="35">
        <f>3216.2+16670</f>
        <v>19886.2</v>
      </c>
      <c r="F17" s="35">
        <v>4586.2</v>
      </c>
      <c r="G17" s="35"/>
      <c r="H17" s="35"/>
      <c r="I17" s="35"/>
      <c r="J17" s="35"/>
      <c r="K17" s="35"/>
      <c r="L17" s="35"/>
      <c r="M17" s="35"/>
      <c r="N17" s="35"/>
      <c r="O17" s="35"/>
      <c r="P17" s="35"/>
      <c r="Q17" s="349"/>
      <c r="R17" s="35"/>
      <c r="S17" s="35"/>
      <c r="T17" s="35"/>
      <c r="U17" s="35"/>
      <c r="V17" s="35"/>
      <c r="W17" s="35"/>
      <c r="X17" s="35"/>
      <c r="Y17" s="35"/>
      <c r="Z17" s="35"/>
      <c r="AA17" s="349"/>
      <c r="AB17" s="35"/>
      <c r="AC17" s="35"/>
      <c r="AD17" s="35"/>
      <c r="AE17" s="35"/>
      <c r="AF17" s="35"/>
      <c r="AG17" s="35"/>
      <c r="AH17" s="35"/>
      <c r="AI17" s="35"/>
      <c r="AJ17" s="35"/>
      <c r="AK17" s="35"/>
      <c r="AL17" s="35"/>
      <c r="AM17" s="35"/>
      <c r="AN17" s="35"/>
      <c r="AO17" s="349"/>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436">
        <f t="shared" si="0"/>
        <v>24472.400000000001</v>
      </c>
    </row>
    <row r="18" spans="1:84">
      <c r="A18" s="128" t="s">
        <v>392</v>
      </c>
      <c r="B18" s="35"/>
      <c r="C18" s="35"/>
      <c r="D18" s="35">
        <v>4143.9219999999996</v>
      </c>
      <c r="E18" s="35"/>
      <c r="F18" s="35"/>
      <c r="G18" s="35"/>
      <c r="H18" s="35"/>
      <c r="I18" s="35"/>
      <c r="J18" s="35"/>
      <c r="K18" s="35"/>
      <c r="L18" s="35"/>
      <c r="M18" s="35"/>
      <c r="N18" s="35"/>
      <c r="O18" s="35"/>
      <c r="P18" s="35"/>
      <c r="Q18" s="349"/>
      <c r="R18" s="35"/>
      <c r="S18" s="35"/>
      <c r="T18" s="35"/>
      <c r="U18" s="35"/>
      <c r="V18" s="35"/>
      <c r="W18" s="35"/>
      <c r="X18" s="35"/>
      <c r="Y18" s="35"/>
      <c r="Z18" s="35"/>
      <c r="AA18" s="349"/>
      <c r="AB18" s="35"/>
      <c r="AC18" s="35"/>
      <c r="AD18" s="35"/>
      <c r="AE18" s="35"/>
      <c r="AF18" s="35"/>
      <c r="AG18" s="35"/>
      <c r="AH18" s="35"/>
      <c r="AI18" s="35"/>
      <c r="AJ18" s="35"/>
      <c r="AK18" s="35"/>
      <c r="AL18" s="35"/>
      <c r="AM18" s="35"/>
      <c r="AN18" s="35"/>
      <c r="AO18" s="349"/>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436">
        <f t="shared" si="0"/>
        <v>4143.9219999999996</v>
      </c>
    </row>
    <row r="19" spans="1:84">
      <c r="A19" s="128" t="s">
        <v>766</v>
      </c>
      <c r="B19" s="35"/>
      <c r="C19" s="35"/>
      <c r="D19" s="35"/>
      <c r="E19" s="35"/>
      <c r="F19" s="35"/>
      <c r="G19" s="35"/>
      <c r="H19" s="35"/>
      <c r="I19" s="35"/>
      <c r="J19" s="35"/>
      <c r="K19" s="35"/>
      <c r="L19" s="35"/>
      <c r="M19" s="35"/>
      <c r="N19" s="35"/>
      <c r="O19" s="35"/>
      <c r="P19" s="35"/>
      <c r="Q19" s="349">
        <v>3500</v>
      </c>
      <c r="R19" s="35"/>
      <c r="S19" s="35"/>
      <c r="T19" s="35"/>
      <c r="U19" s="35"/>
      <c r="V19" s="35"/>
      <c r="W19" s="35"/>
      <c r="X19" s="35"/>
      <c r="Y19" s="35"/>
      <c r="Z19" s="35"/>
      <c r="AA19" s="349"/>
      <c r="AB19" s="35"/>
      <c r="AC19" s="35"/>
      <c r="AD19" s="35"/>
      <c r="AE19" s="35"/>
      <c r="AF19" s="35"/>
      <c r="AG19" s="35"/>
      <c r="AH19" s="35"/>
      <c r="AI19" s="35"/>
      <c r="AJ19" s="35"/>
      <c r="AK19" s="35"/>
      <c r="AL19" s="35"/>
      <c r="AM19" s="35"/>
      <c r="AN19" s="35"/>
      <c r="AO19" s="349"/>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436">
        <f t="shared" si="0"/>
        <v>3500</v>
      </c>
    </row>
    <row r="20" spans="1:84">
      <c r="A20" s="128" t="s">
        <v>394</v>
      </c>
      <c r="B20" s="35"/>
      <c r="C20" s="35"/>
      <c r="D20" s="35"/>
      <c r="E20" s="35"/>
      <c r="F20" s="35"/>
      <c r="G20" s="35"/>
      <c r="H20" s="35"/>
      <c r="I20" s="35"/>
      <c r="J20" s="35"/>
      <c r="K20" s="35"/>
      <c r="L20" s="35"/>
      <c r="M20" s="35"/>
      <c r="N20" s="35"/>
      <c r="O20" s="35"/>
      <c r="P20" s="35"/>
      <c r="Q20" s="349"/>
      <c r="R20" s="35"/>
      <c r="S20" s="35"/>
      <c r="T20" s="35"/>
      <c r="U20" s="35"/>
      <c r="V20" s="35">
        <v>550</v>
      </c>
      <c r="W20" s="35"/>
      <c r="X20" s="35"/>
      <c r="Y20" s="35"/>
      <c r="Z20" s="35"/>
      <c r="AA20" s="349"/>
      <c r="AB20" s="35"/>
      <c r="AC20" s="35"/>
      <c r="AD20" s="35"/>
      <c r="AE20" s="35"/>
      <c r="AF20" s="35"/>
      <c r="AG20" s="35"/>
      <c r="AH20" s="35"/>
      <c r="AI20" s="35"/>
      <c r="AJ20" s="35"/>
      <c r="AK20" s="35"/>
      <c r="AL20" s="35"/>
      <c r="AM20" s="35"/>
      <c r="AN20" s="35"/>
      <c r="AO20" s="349"/>
      <c r="AP20" s="35">
        <v>245.7</v>
      </c>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436">
        <f t="shared" si="0"/>
        <v>795.7</v>
      </c>
    </row>
    <row r="21" spans="1:84">
      <c r="A21" s="128" t="s">
        <v>409</v>
      </c>
      <c r="B21" s="35"/>
      <c r="C21" s="35"/>
      <c r="D21" s="35"/>
      <c r="E21" s="35"/>
      <c r="F21" s="35"/>
      <c r="G21" s="35"/>
      <c r="H21" s="35"/>
      <c r="I21" s="35"/>
      <c r="J21" s="35"/>
      <c r="K21" s="35"/>
      <c r="L21" s="35"/>
      <c r="M21" s="35"/>
      <c r="N21" s="35"/>
      <c r="O21" s="35"/>
      <c r="P21" s="35"/>
      <c r="Q21" s="349"/>
      <c r="R21" s="35"/>
      <c r="S21" s="35"/>
      <c r="T21" s="35"/>
      <c r="U21" s="35"/>
      <c r="V21" s="35"/>
      <c r="W21" s="35"/>
      <c r="X21" s="35"/>
      <c r="Y21" s="35"/>
      <c r="Z21" s="35"/>
      <c r="AA21" s="349"/>
      <c r="AB21" s="35"/>
      <c r="AC21" s="35"/>
      <c r="AD21" s="35"/>
      <c r="AE21" s="35"/>
      <c r="AF21" s="35"/>
      <c r="AG21" s="35"/>
      <c r="AH21" s="35"/>
      <c r="AI21" s="35"/>
      <c r="AJ21" s="35"/>
      <c r="AK21" s="35"/>
      <c r="AL21" s="35"/>
      <c r="AM21" s="35"/>
      <c r="AN21" s="35"/>
      <c r="AO21" s="349"/>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222">
        <f t="shared" si="0"/>
        <v>0</v>
      </c>
    </row>
    <row r="22" spans="1:84">
      <c r="A22" s="128" t="s">
        <v>395</v>
      </c>
      <c r="B22" s="35"/>
      <c r="C22" s="35">
        <v>28703.445</v>
      </c>
      <c r="D22" s="35"/>
      <c r="E22" s="35"/>
      <c r="F22" s="35"/>
      <c r="G22" s="35"/>
      <c r="H22" s="35"/>
      <c r="I22" s="35"/>
      <c r="J22" s="35"/>
      <c r="K22" s="35"/>
      <c r="L22" s="35"/>
      <c r="M22" s="35"/>
      <c r="N22" s="35"/>
      <c r="O22" s="35"/>
      <c r="P22" s="35"/>
      <c r="Q22" s="349"/>
      <c r="R22" s="35"/>
      <c r="S22" s="35"/>
      <c r="T22" s="35"/>
      <c r="U22" s="35"/>
      <c r="V22" s="35"/>
      <c r="W22" s="35"/>
      <c r="X22" s="35"/>
      <c r="Y22" s="35"/>
      <c r="Z22" s="35"/>
      <c r="AA22" s="349"/>
      <c r="AB22" s="35"/>
      <c r="AC22" s="35"/>
      <c r="AD22" s="35"/>
      <c r="AE22" s="35"/>
      <c r="AF22" s="35"/>
      <c r="AG22" s="35"/>
      <c r="AH22" s="35"/>
      <c r="AI22" s="35"/>
      <c r="AJ22" s="35"/>
      <c r="AK22" s="35"/>
      <c r="AL22" s="35"/>
      <c r="AM22" s="35"/>
      <c r="AN22" s="35"/>
      <c r="AO22" s="349"/>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436">
        <f t="shared" si="0"/>
        <v>28703.445</v>
      </c>
    </row>
    <row r="23" spans="1:84">
      <c r="A23" s="128" t="s">
        <v>396</v>
      </c>
      <c r="B23" s="35"/>
      <c r="C23" s="35"/>
      <c r="D23" s="35"/>
      <c r="E23" s="35"/>
      <c r="F23" s="35"/>
      <c r="G23" s="35"/>
      <c r="H23" s="35"/>
      <c r="I23" s="35"/>
      <c r="J23" s="35"/>
      <c r="K23" s="35"/>
      <c r="L23" s="35"/>
      <c r="M23" s="35"/>
      <c r="N23" s="35">
        <v>13169.893</v>
      </c>
      <c r="O23" s="35"/>
      <c r="P23" s="35"/>
      <c r="Q23" s="349"/>
      <c r="R23" s="35"/>
      <c r="S23" s="35"/>
      <c r="T23" s="35"/>
      <c r="U23" s="35"/>
      <c r="V23" s="35"/>
      <c r="W23" s="35"/>
      <c r="X23" s="35"/>
      <c r="Y23" s="35"/>
      <c r="Z23" s="35"/>
      <c r="AA23" s="349"/>
      <c r="AB23" s="35"/>
      <c r="AC23" s="35"/>
      <c r="AD23" s="35"/>
      <c r="AE23" s="35"/>
      <c r="AF23" s="35"/>
      <c r="AG23" s="35"/>
      <c r="AH23" s="35"/>
      <c r="AI23" s="35"/>
      <c r="AJ23" s="35"/>
      <c r="AK23" s="35"/>
      <c r="AL23" s="35"/>
      <c r="AM23" s="35"/>
      <c r="AN23" s="35"/>
      <c r="AO23" s="349"/>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436">
        <f t="shared" si="0"/>
        <v>13169.893</v>
      </c>
    </row>
    <row r="24" spans="1:84" hidden="1">
      <c r="A24" s="128" t="s">
        <v>505</v>
      </c>
      <c r="B24" s="35"/>
      <c r="C24" s="35"/>
      <c r="D24" s="35"/>
      <c r="E24" s="35"/>
      <c r="F24" s="35"/>
      <c r="G24" s="35"/>
      <c r="H24" s="35"/>
      <c r="I24" s="35"/>
      <c r="J24" s="35"/>
      <c r="K24" s="35"/>
      <c r="L24" s="35"/>
      <c r="M24" s="35"/>
      <c r="N24" s="35"/>
      <c r="O24" s="35"/>
      <c r="P24" s="35"/>
      <c r="Q24" s="349"/>
      <c r="R24" s="35"/>
      <c r="S24" s="35"/>
      <c r="T24" s="35"/>
      <c r="U24" s="35"/>
      <c r="V24" s="35"/>
      <c r="W24" s="35"/>
      <c r="X24" s="35"/>
      <c r="Y24" s="35"/>
      <c r="Z24" s="35"/>
      <c r="AA24" s="349"/>
      <c r="AB24" s="35"/>
      <c r="AC24" s="35"/>
      <c r="AD24" s="35"/>
      <c r="AE24" s="35"/>
      <c r="AF24" s="35"/>
      <c r="AG24" s="35"/>
      <c r="AH24" s="35"/>
      <c r="AI24" s="35"/>
      <c r="AJ24" s="35"/>
      <c r="AK24" s="35"/>
      <c r="AL24" s="35"/>
      <c r="AM24" s="35"/>
      <c r="AN24" s="35"/>
      <c r="AO24" s="349"/>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222">
        <f t="shared" si="0"/>
        <v>0</v>
      </c>
    </row>
    <row r="25" spans="1:84">
      <c r="A25" s="128" t="s">
        <v>397</v>
      </c>
      <c r="B25" s="35"/>
      <c r="C25" s="35"/>
      <c r="D25" s="35"/>
      <c r="E25" s="35"/>
      <c r="F25" s="35"/>
      <c r="G25" s="35"/>
      <c r="H25" s="35">
        <f>1395+30441.348+76015.3+905.715</f>
        <v>108757.363</v>
      </c>
      <c r="I25" s="35"/>
      <c r="J25" s="35"/>
      <c r="K25" s="35"/>
      <c r="L25" s="35"/>
      <c r="M25" s="35"/>
      <c r="N25" s="35"/>
      <c r="O25" s="35"/>
      <c r="P25" s="35"/>
      <c r="Q25" s="349"/>
      <c r="R25" s="35"/>
      <c r="S25" s="35"/>
      <c r="T25" s="35"/>
      <c r="U25" s="35"/>
      <c r="V25" s="35"/>
      <c r="W25" s="35"/>
      <c r="X25" s="35"/>
      <c r="Y25" s="35"/>
      <c r="Z25" s="35"/>
      <c r="AA25" s="349"/>
      <c r="AB25" s="35"/>
      <c r="AC25" s="35"/>
      <c r="AD25" s="35"/>
      <c r="AE25" s="35"/>
      <c r="AF25" s="35"/>
      <c r="AG25" s="35"/>
      <c r="AH25" s="35"/>
      <c r="AI25" s="35"/>
      <c r="AJ25" s="35"/>
      <c r="AK25" s="35"/>
      <c r="AL25" s="35"/>
      <c r="AM25" s="35">
        <v>1381.8</v>
      </c>
      <c r="AN25" s="35"/>
      <c r="AO25" s="349"/>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436">
        <f t="shared" si="0"/>
        <v>110139.163</v>
      </c>
    </row>
    <row r="26" spans="1:84">
      <c r="A26" s="128" t="s">
        <v>398</v>
      </c>
      <c r="B26" s="35"/>
      <c r="C26" s="35"/>
      <c r="D26" s="35"/>
      <c r="E26" s="35"/>
      <c r="F26" s="35"/>
      <c r="G26" s="35"/>
      <c r="H26" s="35">
        <v>32457.1</v>
      </c>
      <c r="I26" s="35">
        <f>2991+699.666+1481.38+587.5+18858.741+1337.8+857.8+1625.313+50.2568+702.271+21.72+4399.511+136.068+692+24293.893+6146.708+1676.55+51.3</f>
        <v>66609.477800000008</v>
      </c>
      <c r="J26" s="35">
        <f>2618.5+1004.334+1190+587.5+24+2243.3+1337.8+1625.313+50.268+480.671+14.865+4399.511+136.068+37637.008+937.293+1290.35+298.03</f>
        <v>55874.810999999994</v>
      </c>
      <c r="K26" s="35"/>
      <c r="L26" s="35"/>
      <c r="M26" s="35"/>
      <c r="N26" s="35"/>
      <c r="O26" s="35"/>
      <c r="P26" s="35"/>
      <c r="Q26" s="349"/>
      <c r="R26" s="35"/>
      <c r="S26" s="35"/>
      <c r="T26" s="35"/>
      <c r="U26" s="35"/>
      <c r="V26" s="35"/>
      <c r="W26" s="35"/>
      <c r="X26" s="35"/>
      <c r="Y26" s="35"/>
      <c r="Z26" s="35"/>
      <c r="AA26" s="349"/>
      <c r="AB26" s="35"/>
      <c r="AC26" s="35"/>
      <c r="AD26" s="35"/>
      <c r="AE26" s="35"/>
      <c r="AF26" s="35"/>
      <c r="AG26" s="35"/>
      <c r="AH26" s="35"/>
      <c r="AI26" s="35"/>
      <c r="AJ26" s="35"/>
      <c r="AK26" s="35"/>
      <c r="AL26" s="35"/>
      <c r="AM26" s="35">
        <v>3716</v>
      </c>
      <c r="AN26" s="35"/>
      <c r="AO26" s="349"/>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436">
        <f t="shared" si="0"/>
        <v>158657.38879999999</v>
      </c>
    </row>
    <row r="27" spans="1:84">
      <c r="A27" s="128" t="s">
        <v>454</v>
      </c>
      <c r="B27" s="35"/>
      <c r="C27" s="35"/>
      <c r="D27" s="35"/>
      <c r="E27" s="35"/>
      <c r="F27" s="35"/>
      <c r="G27" s="35"/>
      <c r="H27" s="35"/>
      <c r="I27" s="35"/>
      <c r="J27" s="35"/>
      <c r="K27" s="35">
        <f>90085.452-506.6-663.5</f>
        <v>88915.351999999999</v>
      </c>
      <c r="L27" s="35"/>
      <c r="M27" s="35">
        <v>506.6</v>
      </c>
      <c r="N27" s="35"/>
      <c r="O27" s="35"/>
      <c r="P27" s="35"/>
      <c r="Q27" s="349"/>
      <c r="R27" s="35"/>
      <c r="S27" s="35"/>
      <c r="T27" s="35"/>
      <c r="U27" s="35"/>
      <c r="V27" s="35"/>
      <c r="W27" s="35"/>
      <c r="X27" s="35"/>
      <c r="Y27" s="35"/>
      <c r="Z27" s="35"/>
      <c r="AA27" s="349"/>
      <c r="AB27" s="35"/>
      <c r="AC27" s="35"/>
      <c r="AD27" s="35"/>
      <c r="AE27" s="35"/>
      <c r="AF27" s="35"/>
      <c r="AG27" s="35"/>
      <c r="AH27" s="35"/>
      <c r="AI27" s="35"/>
      <c r="AJ27" s="35"/>
      <c r="AK27" s="35"/>
      <c r="AL27" s="35"/>
      <c r="AM27" s="35">
        <v>663.5</v>
      </c>
      <c r="AN27" s="35"/>
      <c r="AO27" s="349"/>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222">
        <f t="shared" si="0"/>
        <v>90085.452000000005</v>
      </c>
    </row>
    <row r="28" spans="1:84">
      <c r="A28" s="128" t="s">
        <v>1115</v>
      </c>
      <c r="B28" s="35"/>
      <c r="C28" s="35"/>
      <c r="D28" s="35"/>
      <c r="E28" s="35"/>
      <c r="F28" s="35"/>
      <c r="G28" s="35"/>
      <c r="H28" s="35"/>
      <c r="I28" s="35"/>
      <c r="J28" s="35"/>
      <c r="K28" s="35"/>
      <c r="L28" s="35"/>
      <c r="M28" s="35"/>
      <c r="N28" s="35"/>
      <c r="O28" s="35"/>
      <c r="P28" s="35"/>
      <c r="Q28" s="349"/>
      <c r="R28" s="35"/>
      <c r="S28" s="35"/>
      <c r="T28" s="35"/>
      <c r="U28" s="35"/>
      <c r="V28" s="35"/>
      <c r="W28" s="35"/>
      <c r="X28" s="35"/>
      <c r="Y28" s="35"/>
      <c r="Z28" s="35"/>
      <c r="AA28" s="349"/>
      <c r="AB28" s="35"/>
      <c r="AC28" s="35"/>
      <c r="AD28" s="35"/>
      <c r="AE28" s="35"/>
      <c r="AF28" s="35"/>
      <c r="AG28" s="35"/>
      <c r="AH28" s="35"/>
      <c r="AI28" s="35"/>
      <c r="AJ28" s="35"/>
      <c r="AK28" s="35"/>
      <c r="AL28" s="35">
        <v>6231.6</v>
      </c>
      <c r="AM28" s="35"/>
      <c r="AN28" s="35"/>
      <c r="AO28" s="349"/>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222">
        <f t="shared" si="0"/>
        <v>6231.6</v>
      </c>
    </row>
    <row r="29" spans="1:84">
      <c r="A29" s="128" t="s">
        <v>399</v>
      </c>
      <c r="B29" s="35"/>
      <c r="C29" s="35"/>
      <c r="D29" s="35"/>
      <c r="E29" s="35"/>
      <c r="F29" s="35"/>
      <c r="G29" s="35"/>
      <c r="H29" s="35"/>
      <c r="I29" s="35"/>
      <c r="J29" s="35"/>
      <c r="K29" s="35"/>
      <c r="L29" s="35">
        <f>3783.44+2937.5</f>
        <v>6720.9400000000005</v>
      </c>
      <c r="M29" s="35"/>
      <c r="N29" s="35"/>
      <c r="O29" s="35"/>
      <c r="P29" s="35"/>
      <c r="Q29" s="349"/>
      <c r="R29" s="35"/>
      <c r="S29" s="35"/>
      <c r="T29" s="35"/>
      <c r="U29" s="35"/>
      <c r="V29" s="35"/>
      <c r="W29" s="35"/>
      <c r="X29" s="35"/>
      <c r="Y29" s="35">
        <v>300</v>
      </c>
      <c r="Z29" s="35"/>
      <c r="AA29" s="349"/>
      <c r="AB29" s="35"/>
      <c r="AC29" s="35"/>
      <c r="AD29" s="35"/>
      <c r="AE29" s="35"/>
      <c r="AF29" s="35"/>
      <c r="AG29" s="35"/>
      <c r="AH29" s="35"/>
      <c r="AI29" s="35"/>
      <c r="AJ29" s="35"/>
      <c r="AK29" s="35"/>
      <c r="AL29" s="35"/>
      <c r="AM29" s="35"/>
      <c r="AN29" s="35"/>
      <c r="AO29" s="349"/>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222">
        <f t="shared" si="0"/>
        <v>7020.9400000000005</v>
      </c>
    </row>
    <row r="30" spans="1:84">
      <c r="A30" s="128" t="s">
        <v>400</v>
      </c>
      <c r="B30" s="35"/>
      <c r="C30" s="35"/>
      <c r="D30" s="35"/>
      <c r="E30" s="35"/>
      <c r="F30" s="35"/>
      <c r="G30" s="35"/>
      <c r="H30" s="35"/>
      <c r="I30" s="35"/>
      <c r="J30" s="35"/>
      <c r="K30" s="35"/>
      <c r="L30" s="35"/>
      <c r="M30" s="35">
        <v>319.39999999999998</v>
      </c>
      <c r="N30" s="35"/>
      <c r="O30" s="35"/>
      <c r="P30" s="35"/>
      <c r="Q30" s="349"/>
      <c r="R30" s="35"/>
      <c r="S30" s="35"/>
      <c r="T30" s="35"/>
      <c r="U30" s="35"/>
      <c r="V30" s="35"/>
      <c r="W30" s="35"/>
      <c r="X30" s="35"/>
      <c r="Y30" s="35"/>
      <c r="Z30" s="35"/>
      <c r="AA30" s="349"/>
      <c r="AB30" s="35"/>
      <c r="AC30" s="35"/>
      <c r="AD30" s="35"/>
      <c r="AE30" s="35"/>
      <c r="AF30" s="35">
        <v>5620.7</v>
      </c>
      <c r="AG30" s="35">
        <v>12430</v>
      </c>
      <c r="AH30" s="35"/>
      <c r="AI30" s="35"/>
      <c r="AJ30" s="35"/>
      <c r="AK30" s="35"/>
      <c r="AL30" s="35"/>
      <c r="AM30" s="35">
        <v>250</v>
      </c>
      <c r="AN30" s="35"/>
      <c r="AO30" s="349"/>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222">
        <f t="shared" si="0"/>
        <v>18620.099999999999</v>
      </c>
    </row>
    <row r="31" spans="1:84" s="129" customFormat="1">
      <c r="A31" s="128" t="s">
        <v>401</v>
      </c>
      <c r="B31" s="35"/>
      <c r="C31" s="35"/>
      <c r="D31" s="35"/>
      <c r="E31" s="35"/>
      <c r="F31" s="35"/>
      <c r="G31" s="35"/>
      <c r="H31" s="35"/>
      <c r="I31" s="35"/>
      <c r="J31" s="35"/>
      <c r="K31" s="35"/>
      <c r="L31" s="35"/>
      <c r="M31" s="35"/>
      <c r="N31" s="35"/>
      <c r="O31" s="35"/>
      <c r="P31" s="35">
        <f>968.1+513</f>
        <v>1481.1</v>
      </c>
      <c r="Q31" s="349"/>
      <c r="R31" s="35">
        <f>31459.5+1818.4+18659.34+984/2+21.8+1851.8+450.6</f>
        <v>54753.44000000001</v>
      </c>
      <c r="S31" s="35">
        <v>654.66099999999994</v>
      </c>
      <c r="T31" s="35"/>
      <c r="U31" s="35"/>
      <c r="V31" s="35"/>
      <c r="W31" s="35"/>
      <c r="X31" s="35"/>
      <c r="Y31" s="35"/>
      <c r="Z31" s="35">
        <f>20406.6+11186.877+984.283/2+65.7+7830.9+258.6+100</f>
        <v>40340.818500000001</v>
      </c>
      <c r="AA31" s="349"/>
      <c r="AB31" s="35"/>
      <c r="AC31" s="35">
        <v>15708.3</v>
      </c>
      <c r="AD31" s="35">
        <f>7725.8+2192.4+4413.8+7815.6+3732.7+23650</f>
        <v>49530.3</v>
      </c>
      <c r="AE31" s="35"/>
      <c r="AF31" s="35"/>
      <c r="AG31" s="35"/>
      <c r="AH31" s="35"/>
      <c r="AI31" s="35"/>
      <c r="AJ31" s="35"/>
      <c r="AK31" s="35"/>
      <c r="AL31" s="35"/>
      <c r="AM31" s="35">
        <v>919.3</v>
      </c>
      <c r="AN31" s="35"/>
      <c r="AO31" s="349"/>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222">
        <f t="shared" si="0"/>
        <v>163387.91950000002</v>
      </c>
    </row>
    <row r="32" spans="1:84">
      <c r="A32" s="128" t="s">
        <v>402</v>
      </c>
      <c r="B32" s="35"/>
      <c r="C32" s="35"/>
      <c r="D32" s="35"/>
      <c r="E32" s="35"/>
      <c r="F32" s="35"/>
      <c r="G32" s="35"/>
      <c r="H32" s="35"/>
      <c r="I32" s="35"/>
      <c r="J32" s="35"/>
      <c r="K32" s="35"/>
      <c r="L32" s="35"/>
      <c r="M32" s="35"/>
      <c r="N32" s="35"/>
      <c r="O32" s="35"/>
      <c r="P32" s="35"/>
      <c r="Q32" s="349"/>
      <c r="R32" s="35"/>
      <c r="S32" s="35"/>
      <c r="T32" s="35"/>
      <c r="U32" s="35"/>
      <c r="V32" s="35"/>
      <c r="W32" s="35"/>
      <c r="X32" s="35"/>
      <c r="Y32" s="35"/>
      <c r="Z32" s="35"/>
      <c r="AA32" s="349"/>
      <c r="AB32" s="35"/>
      <c r="AC32" s="35"/>
      <c r="AD32" s="35"/>
      <c r="AE32" s="35"/>
      <c r="AF32" s="35">
        <f>3217.8+50.2</f>
        <v>3268</v>
      </c>
      <c r="AG32" s="35">
        <v>7164.4</v>
      </c>
      <c r="AH32" s="35"/>
      <c r="AI32" s="35"/>
      <c r="AJ32" s="35"/>
      <c r="AK32" s="35"/>
      <c r="AL32" s="35"/>
      <c r="AM32" s="35">
        <v>319.5</v>
      </c>
      <c r="AN32" s="35"/>
      <c r="AO32" s="349"/>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222">
        <f t="shared" si="0"/>
        <v>10751.9</v>
      </c>
    </row>
    <row r="33" spans="1:85">
      <c r="A33" s="128" t="s">
        <v>403</v>
      </c>
      <c r="B33" s="35"/>
      <c r="C33" s="35"/>
      <c r="D33" s="35"/>
      <c r="E33" s="35"/>
      <c r="F33" s="35"/>
      <c r="G33" s="35"/>
      <c r="H33" s="35"/>
      <c r="I33" s="35"/>
      <c r="J33" s="35"/>
      <c r="K33" s="35"/>
      <c r="L33" s="35"/>
      <c r="M33" s="35"/>
      <c r="N33" s="35"/>
      <c r="O33" s="35"/>
      <c r="P33" s="35"/>
      <c r="Q33" s="349"/>
      <c r="R33" s="35"/>
      <c r="S33" s="35"/>
      <c r="T33" s="35"/>
      <c r="U33" s="35"/>
      <c r="V33" s="35"/>
      <c r="W33" s="35"/>
      <c r="X33" s="35"/>
      <c r="Y33" s="35"/>
      <c r="Z33" s="35"/>
      <c r="AA33" s="349"/>
      <c r="AB33" s="35"/>
      <c r="AC33" s="35"/>
      <c r="AD33" s="35"/>
      <c r="AE33" s="35"/>
      <c r="AF33" s="35"/>
      <c r="AG33" s="35"/>
      <c r="AH33" s="35"/>
      <c r="AI33" s="35"/>
      <c r="AJ33" s="35"/>
      <c r="AK33" s="35"/>
      <c r="AL33" s="35"/>
      <c r="AM33" s="35"/>
      <c r="AN33" s="35"/>
      <c r="AO33" s="349"/>
      <c r="AP33" s="35"/>
      <c r="AQ33" s="35">
        <v>4775.12</v>
      </c>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222">
        <f t="shared" si="0"/>
        <v>4775.12</v>
      </c>
    </row>
    <row r="34" spans="1:85">
      <c r="A34" s="128" t="s">
        <v>385</v>
      </c>
      <c r="B34" s="35"/>
      <c r="C34" s="35"/>
      <c r="D34" s="35"/>
      <c r="E34" s="35"/>
      <c r="F34" s="35"/>
      <c r="G34" s="35"/>
      <c r="H34" s="35"/>
      <c r="I34" s="35"/>
      <c r="J34" s="35"/>
      <c r="K34" s="35"/>
      <c r="L34" s="35"/>
      <c r="M34" s="35"/>
      <c r="N34" s="35"/>
      <c r="O34" s="35"/>
      <c r="P34" s="35"/>
      <c r="Q34" s="349"/>
      <c r="R34" s="35"/>
      <c r="S34" s="35"/>
      <c r="T34" s="35"/>
      <c r="U34" s="35"/>
      <c r="V34" s="35"/>
      <c r="W34" s="35"/>
      <c r="X34" s="35"/>
      <c r="Y34" s="35"/>
      <c r="Z34" s="35"/>
      <c r="AA34" s="349"/>
      <c r="AB34" s="35"/>
      <c r="AC34" s="35"/>
      <c r="AD34" s="35"/>
      <c r="AE34" s="35"/>
      <c r="AF34" s="35">
        <v>1.7</v>
      </c>
      <c r="AG34" s="35"/>
      <c r="AH34" s="35"/>
      <c r="AI34" s="35"/>
      <c r="AJ34" s="35"/>
      <c r="AK34" s="35"/>
      <c r="AL34" s="35"/>
      <c r="AM34" s="35"/>
      <c r="AN34" s="35"/>
      <c r="AO34" s="349"/>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222">
        <f t="shared" si="0"/>
        <v>1.7</v>
      </c>
    </row>
    <row r="35" spans="1:85">
      <c r="A35" s="128" t="s">
        <v>393</v>
      </c>
      <c r="B35" s="35"/>
      <c r="C35" s="35"/>
      <c r="D35" s="35"/>
      <c r="E35" s="35"/>
      <c r="F35" s="35"/>
      <c r="G35" s="35"/>
      <c r="H35" s="35"/>
      <c r="I35" s="35"/>
      <c r="J35" s="35"/>
      <c r="K35" s="35"/>
      <c r="L35" s="35"/>
      <c r="M35" s="35"/>
      <c r="N35" s="35"/>
      <c r="O35" s="35"/>
      <c r="P35" s="35"/>
      <c r="Q35" s="349"/>
      <c r="R35" s="35"/>
      <c r="S35" s="35"/>
      <c r="T35" s="35"/>
      <c r="U35" s="35"/>
      <c r="V35" s="35"/>
      <c r="W35" s="35"/>
      <c r="X35" s="35"/>
      <c r="Y35" s="35"/>
      <c r="Z35" s="35"/>
      <c r="AA35" s="349"/>
      <c r="AB35" s="35"/>
      <c r="AC35" s="35"/>
      <c r="AD35" s="35"/>
      <c r="AE35" s="35"/>
      <c r="AF35" s="35"/>
      <c r="AG35" s="35"/>
      <c r="AH35" s="35"/>
      <c r="AI35" s="35"/>
      <c r="AJ35" s="35"/>
      <c r="AK35" s="35"/>
      <c r="AL35" s="35"/>
      <c r="AM35" s="35"/>
      <c r="AN35" s="35"/>
      <c r="AO35" s="349"/>
      <c r="AP35" s="35"/>
      <c r="AQ35" s="35">
        <v>2.8</v>
      </c>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222">
        <f t="shared" si="0"/>
        <v>2.8</v>
      </c>
    </row>
    <row r="36" spans="1:85">
      <c r="A36" s="128" t="s">
        <v>378</v>
      </c>
      <c r="B36" s="35"/>
      <c r="C36" s="35"/>
      <c r="D36" s="35"/>
      <c r="E36" s="35"/>
      <c r="F36" s="35"/>
      <c r="G36" s="35"/>
      <c r="H36" s="35"/>
      <c r="I36" s="35"/>
      <c r="J36" s="35"/>
      <c r="K36" s="35"/>
      <c r="L36" s="35"/>
      <c r="M36" s="35"/>
      <c r="N36" s="35"/>
      <c r="O36" s="35"/>
      <c r="P36" s="35"/>
      <c r="Q36" s="349"/>
      <c r="R36" s="35"/>
      <c r="S36" s="35"/>
      <c r="T36" s="35"/>
      <c r="U36" s="35"/>
      <c r="V36" s="35"/>
      <c r="W36" s="35">
        <v>4818.5</v>
      </c>
      <c r="X36" s="35">
        <v>12820.598</v>
      </c>
      <c r="Y36" s="35"/>
      <c r="Z36" s="35"/>
      <c r="AA36" s="349"/>
      <c r="AB36" s="35"/>
      <c r="AC36" s="35"/>
      <c r="AD36" s="35"/>
      <c r="AE36" s="35"/>
      <c r="AF36" s="35"/>
      <c r="AG36" s="35"/>
      <c r="AH36" s="35"/>
      <c r="AI36" s="35"/>
      <c r="AJ36" s="35"/>
      <c r="AK36" s="35"/>
      <c r="AL36" s="35"/>
      <c r="AM36" s="35"/>
      <c r="AN36" s="35"/>
      <c r="AO36" s="349"/>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222">
        <f t="shared" si="0"/>
        <v>17639.097999999998</v>
      </c>
    </row>
    <row r="37" spans="1:85">
      <c r="A37" s="128" t="s">
        <v>404</v>
      </c>
      <c r="B37" s="35"/>
      <c r="C37" s="35"/>
      <c r="D37" s="35"/>
      <c r="E37" s="35"/>
      <c r="F37" s="35"/>
      <c r="G37" s="35"/>
      <c r="H37" s="35"/>
      <c r="I37" s="35"/>
      <c r="J37" s="35"/>
      <c r="K37" s="35"/>
      <c r="L37" s="35"/>
      <c r="M37" s="35"/>
      <c r="N37" s="35"/>
      <c r="O37" s="35"/>
      <c r="P37" s="35"/>
      <c r="Q37" s="349"/>
      <c r="R37" s="35"/>
      <c r="S37" s="35"/>
      <c r="T37" s="35"/>
      <c r="U37" s="35"/>
      <c r="V37" s="35"/>
      <c r="W37" s="35"/>
      <c r="X37" s="35">
        <v>166.7</v>
      </c>
      <c r="Y37" s="35"/>
      <c r="Z37" s="35"/>
      <c r="AA37" s="349"/>
      <c r="AB37" s="35"/>
      <c r="AC37" s="35"/>
      <c r="AD37" s="35"/>
      <c r="AE37" s="35"/>
      <c r="AF37" s="35"/>
      <c r="AG37" s="35"/>
      <c r="AH37" s="35"/>
      <c r="AI37" s="35"/>
      <c r="AJ37" s="35"/>
      <c r="AK37" s="35"/>
      <c r="AL37" s="35"/>
      <c r="AM37" s="35"/>
      <c r="AN37" s="35"/>
      <c r="AO37" s="349"/>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222">
        <f t="shared" si="0"/>
        <v>166.7</v>
      </c>
    </row>
    <row r="38" spans="1:85" ht="12.75" customHeight="1">
      <c r="A38" s="128" t="s">
        <v>47</v>
      </c>
      <c r="B38" s="35"/>
      <c r="C38" s="35"/>
      <c r="D38" s="35"/>
      <c r="E38" s="35"/>
      <c r="F38" s="35"/>
      <c r="G38" s="35"/>
      <c r="H38" s="35"/>
      <c r="I38" s="35"/>
      <c r="J38" s="35"/>
      <c r="K38" s="35"/>
      <c r="L38" s="35"/>
      <c r="M38" s="35"/>
      <c r="N38" s="35"/>
      <c r="O38" s="35"/>
      <c r="P38" s="35"/>
      <c r="Q38" s="349"/>
      <c r="R38" s="35"/>
      <c r="S38" s="35"/>
      <c r="T38" s="35"/>
      <c r="U38" s="35"/>
      <c r="V38" s="35"/>
      <c r="W38" s="35"/>
      <c r="X38" s="35"/>
      <c r="Y38" s="35"/>
      <c r="Z38" s="35"/>
      <c r="AA38" s="349"/>
      <c r="AB38" s="35"/>
      <c r="AC38" s="35"/>
      <c r="AD38" s="35"/>
      <c r="AE38" s="35"/>
      <c r="AF38" s="35"/>
      <c r="AG38" s="35"/>
      <c r="AH38" s="35"/>
      <c r="AI38" s="35"/>
      <c r="AJ38" s="35"/>
      <c r="AK38" s="35"/>
      <c r="AL38" s="35"/>
      <c r="AM38" s="35"/>
      <c r="AN38" s="35"/>
      <c r="AO38" s="349"/>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222">
        <f t="shared" si="0"/>
        <v>0</v>
      </c>
    </row>
    <row r="39" spans="1:85">
      <c r="A39" s="128" t="s">
        <v>405</v>
      </c>
      <c r="B39" s="35"/>
      <c r="C39" s="35"/>
      <c r="D39" s="35"/>
      <c r="E39" s="35"/>
      <c r="F39" s="35"/>
      <c r="G39" s="35"/>
      <c r="H39" s="35"/>
      <c r="I39" s="35"/>
      <c r="J39" s="35"/>
      <c r="K39" s="35"/>
      <c r="L39" s="35"/>
      <c r="M39" s="35"/>
      <c r="N39" s="35"/>
      <c r="O39" s="35"/>
      <c r="P39" s="35"/>
      <c r="Q39" s="349"/>
      <c r="R39" s="35"/>
      <c r="S39" s="35"/>
      <c r="T39" s="35"/>
      <c r="U39" s="35"/>
      <c r="V39" s="35"/>
      <c r="W39" s="35"/>
      <c r="X39" s="35"/>
      <c r="Y39" s="35"/>
      <c r="Z39" s="35"/>
      <c r="AA39" s="349"/>
      <c r="AB39" s="35"/>
      <c r="AC39" s="35"/>
      <c r="AD39" s="35"/>
      <c r="AE39" s="35"/>
      <c r="AF39" s="35"/>
      <c r="AG39" s="35"/>
      <c r="AH39" s="35">
        <v>381.9</v>
      </c>
      <c r="AI39" s="35"/>
      <c r="AJ39" s="35"/>
      <c r="AK39" s="35"/>
      <c r="AL39" s="35"/>
      <c r="AM39" s="35"/>
      <c r="AN39" s="35"/>
      <c r="AO39" s="349"/>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222">
        <f t="shared" si="0"/>
        <v>381.9</v>
      </c>
    </row>
    <row r="40" spans="1:85">
      <c r="A40" s="128" t="s">
        <v>50</v>
      </c>
      <c r="B40" s="35"/>
      <c r="C40" s="35"/>
      <c r="D40" s="35"/>
      <c r="E40" s="35"/>
      <c r="F40" s="35"/>
      <c r="G40" s="35"/>
      <c r="H40" s="35"/>
      <c r="I40" s="35"/>
      <c r="J40" s="35"/>
      <c r="K40" s="35"/>
      <c r="L40" s="35"/>
      <c r="M40" s="35"/>
      <c r="N40" s="35"/>
      <c r="O40" s="35"/>
      <c r="P40" s="35"/>
      <c r="Q40" s="349"/>
      <c r="R40" s="35"/>
      <c r="S40" s="35"/>
      <c r="T40" s="35"/>
      <c r="U40" s="35"/>
      <c r="V40" s="35"/>
      <c r="W40" s="35"/>
      <c r="X40" s="35"/>
      <c r="Y40" s="35"/>
      <c r="Z40" s="35"/>
      <c r="AA40" s="349"/>
      <c r="AB40" s="35"/>
      <c r="AC40" s="35"/>
      <c r="AD40" s="35"/>
      <c r="AE40" s="35"/>
      <c r="AF40" s="35"/>
      <c r="AG40" s="35"/>
      <c r="AH40" s="35"/>
      <c r="AI40" s="35"/>
      <c r="AJ40" s="35"/>
      <c r="AK40" s="35"/>
      <c r="AL40" s="35"/>
      <c r="AM40" s="35"/>
      <c r="AN40" s="35"/>
      <c r="AO40" s="349"/>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222">
        <f t="shared" si="0"/>
        <v>0</v>
      </c>
    </row>
    <row r="41" spans="1:85">
      <c r="A41" s="128" t="s">
        <v>51</v>
      </c>
      <c r="B41" s="35"/>
      <c r="C41" s="35"/>
      <c r="D41" s="35"/>
      <c r="E41" s="35"/>
      <c r="F41" s="35"/>
      <c r="G41" s="35"/>
      <c r="H41" s="35"/>
      <c r="I41" s="35"/>
      <c r="J41" s="35"/>
      <c r="K41" s="35"/>
      <c r="L41" s="35"/>
      <c r="M41" s="35"/>
      <c r="N41" s="35"/>
      <c r="O41" s="35"/>
      <c r="P41" s="35"/>
      <c r="Q41" s="349"/>
      <c r="R41" s="35"/>
      <c r="S41" s="35"/>
      <c r="T41" s="35"/>
      <c r="U41" s="35"/>
      <c r="V41" s="35"/>
      <c r="W41" s="35"/>
      <c r="X41" s="35"/>
      <c r="Y41" s="35"/>
      <c r="Z41" s="35"/>
      <c r="AA41" s="349"/>
      <c r="AB41" s="35"/>
      <c r="AC41" s="35"/>
      <c r="AD41" s="35"/>
      <c r="AE41" s="35"/>
      <c r="AF41" s="35"/>
      <c r="AG41" s="35"/>
      <c r="AH41" s="35"/>
      <c r="AI41" s="35"/>
      <c r="AJ41" s="35"/>
      <c r="AK41" s="35"/>
      <c r="AL41" s="35"/>
      <c r="AM41" s="35"/>
      <c r="AN41" s="35"/>
      <c r="AO41" s="349"/>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222">
        <f t="shared" si="0"/>
        <v>0</v>
      </c>
    </row>
    <row r="42" spans="1:85" s="129" customFormat="1">
      <c r="A42" s="128" t="s">
        <v>406</v>
      </c>
      <c r="B42" s="35">
        <f t="shared" ref="B42:BU42" si="1">SUM(B3:B41)</f>
        <v>3361.8789999999999</v>
      </c>
      <c r="C42" s="35">
        <f t="shared" si="1"/>
        <v>28703.445</v>
      </c>
      <c r="D42" s="35">
        <f t="shared" si="1"/>
        <v>4143.9219999999996</v>
      </c>
      <c r="E42" s="35">
        <f t="shared" si="1"/>
        <v>19886.2</v>
      </c>
      <c r="F42" s="35">
        <f t="shared" si="1"/>
        <v>4586.2</v>
      </c>
      <c r="G42" s="35">
        <f t="shared" si="1"/>
        <v>408.1</v>
      </c>
      <c r="H42" s="35">
        <f t="shared" si="1"/>
        <v>141214.46299999999</v>
      </c>
      <c r="I42" s="35">
        <f t="shared" si="1"/>
        <v>66609.477800000008</v>
      </c>
      <c r="J42" s="35">
        <f t="shared" si="1"/>
        <v>55874.810999999994</v>
      </c>
      <c r="K42" s="35">
        <f t="shared" si="1"/>
        <v>88915.351999999999</v>
      </c>
      <c r="L42" s="35">
        <f t="shared" si="1"/>
        <v>6720.9400000000005</v>
      </c>
      <c r="M42" s="35">
        <f t="shared" si="1"/>
        <v>826</v>
      </c>
      <c r="N42" s="35">
        <f t="shared" si="1"/>
        <v>13169.893</v>
      </c>
      <c r="O42" s="35">
        <f t="shared" si="1"/>
        <v>0</v>
      </c>
      <c r="P42" s="35">
        <f t="shared" si="1"/>
        <v>3911.2</v>
      </c>
      <c r="Q42" s="35">
        <f t="shared" si="1"/>
        <v>58173.002999999997</v>
      </c>
      <c r="R42" s="35">
        <f t="shared" si="1"/>
        <v>54753.44000000001</v>
      </c>
      <c r="S42" s="35">
        <f t="shared" si="1"/>
        <v>654.66099999999994</v>
      </c>
      <c r="T42" s="35">
        <f t="shared" si="1"/>
        <v>1000</v>
      </c>
      <c r="U42" s="35">
        <f t="shared" si="1"/>
        <v>355</v>
      </c>
      <c r="V42" s="35">
        <f t="shared" si="1"/>
        <v>550</v>
      </c>
      <c r="W42" s="35">
        <f t="shared" si="1"/>
        <v>4818.5</v>
      </c>
      <c r="X42" s="35">
        <f t="shared" si="1"/>
        <v>12987.298000000001</v>
      </c>
      <c r="Y42" s="35">
        <f t="shared" si="1"/>
        <v>300</v>
      </c>
      <c r="Z42" s="35">
        <f t="shared" si="1"/>
        <v>40340.818500000001</v>
      </c>
      <c r="AA42" s="35">
        <f t="shared" si="1"/>
        <v>43.8</v>
      </c>
      <c r="AB42" s="35">
        <f t="shared" si="1"/>
        <v>1575</v>
      </c>
      <c r="AC42" s="35">
        <f t="shared" si="1"/>
        <v>15708.3</v>
      </c>
      <c r="AD42" s="35">
        <f t="shared" si="1"/>
        <v>49530.3</v>
      </c>
      <c r="AE42" s="35">
        <f t="shared" si="1"/>
        <v>0</v>
      </c>
      <c r="AF42" s="35">
        <f t="shared" si="1"/>
        <v>40028.102999999996</v>
      </c>
      <c r="AG42" s="35">
        <f t="shared" si="1"/>
        <v>67547.285999999993</v>
      </c>
      <c r="AH42" s="35">
        <f t="shared" si="1"/>
        <v>381.9</v>
      </c>
      <c r="AI42" s="35">
        <f t="shared" si="1"/>
        <v>910</v>
      </c>
      <c r="AJ42" s="35">
        <f t="shared" si="1"/>
        <v>11997.8</v>
      </c>
      <c r="AK42" s="35">
        <f t="shared" si="1"/>
        <v>2804.1</v>
      </c>
      <c r="AL42" s="35">
        <f t="shared" si="1"/>
        <v>6231.6</v>
      </c>
      <c r="AM42" s="35">
        <f t="shared" si="1"/>
        <v>9239.4</v>
      </c>
      <c r="AN42" s="35">
        <f t="shared" si="1"/>
        <v>1500</v>
      </c>
      <c r="AO42" s="35">
        <f t="shared" si="1"/>
        <v>142.03399999999999</v>
      </c>
      <c r="AP42" s="35">
        <f t="shared" si="1"/>
        <v>245.7</v>
      </c>
      <c r="AQ42" s="35">
        <f t="shared" si="1"/>
        <v>4777.92</v>
      </c>
      <c r="AR42" s="35">
        <f t="shared" si="1"/>
        <v>2080.5</v>
      </c>
      <c r="AS42" s="35">
        <f t="shared" si="1"/>
        <v>0</v>
      </c>
      <c r="AT42" s="35">
        <f t="shared" si="1"/>
        <v>189.38399999999999</v>
      </c>
      <c r="AU42" s="35">
        <f t="shared" si="1"/>
        <v>0</v>
      </c>
      <c r="AV42" s="35">
        <f t="shared" si="1"/>
        <v>0</v>
      </c>
      <c r="AW42" s="35">
        <f t="shared" si="1"/>
        <v>0</v>
      </c>
      <c r="AX42" s="35">
        <f t="shared" si="1"/>
        <v>0</v>
      </c>
      <c r="AY42" s="35">
        <f t="shared" si="1"/>
        <v>0</v>
      </c>
      <c r="AZ42" s="35">
        <f t="shared" si="1"/>
        <v>0</v>
      </c>
      <c r="BA42" s="35">
        <f t="shared" si="1"/>
        <v>0</v>
      </c>
      <c r="BB42" s="35">
        <f t="shared" si="1"/>
        <v>0</v>
      </c>
      <c r="BC42" s="35">
        <f t="shared" si="1"/>
        <v>0</v>
      </c>
      <c r="BD42" s="35">
        <f t="shared" si="1"/>
        <v>0</v>
      </c>
      <c r="BE42" s="35">
        <f t="shared" si="1"/>
        <v>0</v>
      </c>
      <c r="BF42" s="35">
        <f t="shared" si="1"/>
        <v>0</v>
      </c>
      <c r="BG42" s="35">
        <f t="shared" si="1"/>
        <v>0</v>
      </c>
      <c r="BH42" s="35">
        <f t="shared" si="1"/>
        <v>0</v>
      </c>
      <c r="BI42" s="35">
        <f t="shared" si="1"/>
        <v>0</v>
      </c>
      <c r="BJ42" s="35">
        <f t="shared" si="1"/>
        <v>0</v>
      </c>
      <c r="BK42" s="35">
        <f t="shared" si="1"/>
        <v>0</v>
      </c>
      <c r="BL42" s="35">
        <f t="shared" si="1"/>
        <v>0</v>
      </c>
      <c r="BM42" s="35">
        <f t="shared" si="1"/>
        <v>0</v>
      </c>
      <c r="BN42" s="35">
        <f t="shared" si="1"/>
        <v>0</v>
      </c>
      <c r="BO42" s="35">
        <f t="shared" si="1"/>
        <v>0</v>
      </c>
      <c r="BP42" s="35">
        <f t="shared" si="1"/>
        <v>0</v>
      </c>
      <c r="BQ42" s="35">
        <f t="shared" si="1"/>
        <v>0</v>
      </c>
      <c r="BR42" s="35">
        <f t="shared" si="1"/>
        <v>0</v>
      </c>
      <c r="BS42" s="35">
        <f t="shared" si="1"/>
        <v>0</v>
      </c>
      <c r="BT42" s="35">
        <f t="shared" si="1"/>
        <v>0</v>
      </c>
      <c r="BU42" s="35">
        <f t="shared" si="1"/>
        <v>0</v>
      </c>
      <c r="BV42" s="35">
        <f t="shared" ref="BV42:CF42" si="2">SUM(BV3:BV41)</f>
        <v>0</v>
      </c>
      <c r="BW42" s="35">
        <f t="shared" si="2"/>
        <v>0</v>
      </c>
      <c r="BX42" s="35">
        <f t="shared" si="2"/>
        <v>0</v>
      </c>
      <c r="BY42" s="35">
        <f t="shared" si="2"/>
        <v>0</v>
      </c>
      <c r="BZ42" s="35">
        <f t="shared" si="2"/>
        <v>0</v>
      </c>
      <c r="CA42" s="35">
        <f t="shared" si="2"/>
        <v>0</v>
      </c>
      <c r="CB42" s="35">
        <f t="shared" si="2"/>
        <v>0</v>
      </c>
      <c r="CC42" s="35">
        <f t="shared" si="2"/>
        <v>0</v>
      </c>
      <c r="CD42" s="35">
        <f t="shared" si="2"/>
        <v>0</v>
      </c>
      <c r="CE42" s="35">
        <f t="shared" si="2"/>
        <v>0</v>
      </c>
      <c r="CF42" s="35">
        <f t="shared" si="2"/>
        <v>827197.73030000005</v>
      </c>
      <c r="CG42" s="133">
        <f>SUM(B42:CE42)</f>
        <v>827197.73030000005</v>
      </c>
    </row>
    <row r="43" spans="1:85">
      <c r="Y43" s="132"/>
      <c r="Z43" s="132"/>
      <c r="AA43" s="434"/>
      <c r="AB43" s="132">
        <f>SUM(B42:AB42)</f>
        <v>613883.40330000001</v>
      </c>
      <c r="AD43" s="133"/>
      <c r="AE43" s="133">
        <f>AC42+AD42+AE42</f>
        <v>65238.600000000006</v>
      </c>
      <c r="AF43" s="133"/>
      <c r="AG43" s="133"/>
      <c r="AH43" s="133"/>
      <c r="AI43" s="133"/>
      <c r="AJ43" s="133"/>
      <c r="AK43" s="133"/>
      <c r="AL43" s="133"/>
      <c r="AM43" s="133"/>
      <c r="AN43" s="134">
        <f>SUM(AF42:AN42)</f>
        <v>140640.18900000001</v>
      </c>
      <c r="AO43" s="433"/>
      <c r="AP43" s="133">
        <f>AP42</f>
        <v>245.7</v>
      </c>
      <c r="AQ43" s="134"/>
      <c r="AR43" s="134"/>
      <c r="AS43" s="134"/>
      <c r="AT43" s="133">
        <f>SUM(AQ42:AT42)</f>
        <v>7047.8040000000001</v>
      </c>
      <c r="AX43" s="133">
        <f>AU42+AV42+AX42</f>
        <v>0</v>
      </c>
      <c r="AY43" s="133"/>
      <c r="BH43" s="133">
        <f>AZ42+BA42+BB42+BC42+BE42+BF42+BG42+BH42</f>
        <v>0</v>
      </c>
      <c r="BL43" s="133">
        <f>BI42+BK42+BL42</f>
        <v>0</v>
      </c>
      <c r="CE43" s="134">
        <f>SUM(BM42:CE42)</f>
        <v>0</v>
      </c>
      <c r="CG43" s="133">
        <f>SUM(B43:CE43)</f>
        <v>827055.69629999995</v>
      </c>
    </row>
  </sheetData>
  <pageMargins left="0.31496062992125984" right="0" top="1.1417322834645669" bottom="0.19685039370078741"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dimension ref="A2:CA43"/>
  <sheetViews>
    <sheetView zoomScaleNormal="100" zoomScaleSheetLayoutView="100" workbookViewId="0">
      <pane xSplit="1" ySplit="2" topLeftCell="BC3" activePane="bottomRight" state="frozen"/>
      <selection pane="topRight" activeCell="B1" sqref="B1"/>
      <selection pane="bottomLeft" activeCell="A3" sqref="A3"/>
      <selection pane="bottomRight" activeCell="CA42" sqref="CA42"/>
    </sheetView>
  </sheetViews>
  <sheetFormatPr defaultRowHeight="12.75"/>
  <cols>
    <col min="1" max="1" width="6" style="130" customWidth="1"/>
    <col min="2" max="2" width="7.42578125" style="131" customWidth="1"/>
    <col min="3" max="3" width="8.5703125" style="131" customWidth="1"/>
    <col min="4" max="4" width="7.7109375" style="131" customWidth="1"/>
    <col min="5" max="5" width="8.5703125" style="131" customWidth="1"/>
    <col min="6" max="6" width="7.42578125" style="131" customWidth="1"/>
    <col min="7" max="7" width="6.140625" style="131" customWidth="1"/>
    <col min="8" max="8" width="9.140625" style="131" customWidth="1"/>
    <col min="9" max="9" width="8.140625" style="131" customWidth="1"/>
    <col min="10" max="10" width="8.42578125" style="131" customWidth="1"/>
    <col min="11" max="11" width="8.28515625" style="131" customWidth="1"/>
    <col min="12" max="12" width="7.42578125" style="131" customWidth="1"/>
    <col min="13" max="13" width="6.28515625" style="131" customWidth="1"/>
    <col min="14" max="14" width="7.28515625" style="131" customWidth="1"/>
    <col min="15" max="16" width="7.42578125" style="131" customWidth="1"/>
    <col min="17" max="18" width="8.42578125" style="131" customWidth="1"/>
    <col min="19" max="19" width="7.140625" style="131" customWidth="1"/>
    <col min="20" max="20" width="6" style="131" customWidth="1"/>
    <col min="21" max="21" width="7.42578125" style="131" customWidth="1"/>
    <col min="22" max="22" width="7.28515625" style="131" customWidth="1"/>
    <col min="23" max="23" width="8.42578125" style="131" customWidth="1"/>
    <col min="24" max="24" width="6" style="131" customWidth="1"/>
    <col min="25" max="25" width="8.28515625" style="131" customWidth="1"/>
    <col min="26" max="26" width="8.28515625" style="36" customWidth="1"/>
    <col min="27" max="27" width="8.42578125" style="36" customWidth="1"/>
    <col min="28" max="28" width="7.85546875" style="36" customWidth="1"/>
    <col min="29" max="30" width="8.140625" style="36" customWidth="1"/>
    <col min="31" max="31" width="6.28515625" style="36" customWidth="1"/>
    <col min="32" max="32" width="6" style="36" customWidth="1"/>
    <col min="33" max="33" width="8.28515625" style="36" customWidth="1"/>
    <col min="34" max="36" width="7.28515625" style="36" customWidth="1"/>
    <col min="37" max="37" width="7.7109375" style="36" customWidth="1"/>
    <col min="38" max="38" width="6" style="36" customWidth="1"/>
    <col min="39" max="39" width="7.7109375" style="36" customWidth="1"/>
    <col min="40" max="40" width="7.85546875" style="36" customWidth="1"/>
    <col min="41" max="41" width="6" style="36" customWidth="1"/>
    <col min="42" max="42" width="7" style="36" bestFit="1" customWidth="1"/>
    <col min="43" max="43" width="5.28515625" style="36" customWidth="1"/>
    <col min="44" max="45" width="7.140625" style="36" customWidth="1"/>
    <col min="46" max="46" width="4.42578125" style="36" customWidth="1"/>
    <col min="47" max="47" width="7.42578125" style="36" customWidth="1"/>
    <col min="48" max="48" width="8.85546875" style="36" customWidth="1"/>
    <col min="49" max="49" width="7.42578125" style="36" customWidth="1"/>
    <col min="50" max="50" width="6.85546875" style="36" customWidth="1"/>
    <col min="51" max="51" width="6" style="36" customWidth="1"/>
    <col min="52" max="52" width="8.140625" style="36" customWidth="1"/>
    <col min="53" max="53" width="6.42578125" style="36" customWidth="1"/>
    <col min="54" max="54" width="8.5703125" style="36" customWidth="1"/>
    <col min="55" max="55" width="9.5703125" style="36" customWidth="1"/>
    <col min="56" max="56" width="8.5703125" style="36" customWidth="1"/>
    <col min="57" max="57" width="4.42578125" style="36" customWidth="1"/>
    <col min="58" max="58" width="7.42578125" style="36" customWidth="1"/>
    <col min="59" max="59" width="7.85546875" style="36" customWidth="1"/>
    <col min="60" max="60" width="6.28515625" style="36" customWidth="1"/>
    <col min="61" max="61" width="9.140625" style="36" customWidth="1"/>
    <col min="62" max="62" width="8.140625" style="36" customWidth="1"/>
    <col min="63" max="63" width="6.140625" style="36" customWidth="1"/>
    <col min="64" max="64" width="8.85546875" style="36" customWidth="1"/>
    <col min="65" max="65" width="4" style="36" customWidth="1"/>
    <col min="66" max="66" width="4.42578125" style="36" customWidth="1"/>
    <col min="67" max="67" width="8.42578125" style="36" customWidth="1"/>
    <col min="68" max="68" width="6.42578125" style="36" customWidth="1"/>
    <col min="69" max="69" width="7.42578125" style="36" customWidth="1"/>
    <col min="70" max="70" width="6.140625" style="36" customWidth="1"/>
    <col min="71" max="71" width="8.42578125" style="36" customWidth="1"/>
    <col min="72" max="73" width="7.42578125" style="36" customWidth="1"/>
    <col min="74" max="74" width="4.42578125" style="36" customWidth="1"/>
    <col min="75" max="75" width="8.5703125" style="36" customWidth="1"/>
    <col min="76" max="76" width="8.42578125" style="36" customWidth="1"/>
    <col min="77" max="77" width="7.42578125" style="36" customWidth="1"/>
    <col min="78" max="78" width="10.5703125" style="36" customWidth="1"/>
    <col min="79" max="79" width="10.140625" style="36" bestFit="1" customWidth="1"/>
    <col min="80" max="16384" width="9.140625" style="36"/>
  </cols>
  <sheetData>
    <row r="2" spans="1:78" s="127" customFormat="1">
      <c r="A2" s="126"/>
      <c r="B2" s="379" t="s">
        <v>34</v>
      </c>
      <c r="C2" s="379" t="s">
        <v>393</v>
      </c>
      <c r="D2" s="379" t="s">
        <v>39</v>
      </c>
      <c r="E2" s="379" t="s">
        <v>602</v>
      </c>
      <c r="F2" s="379" t="s">
        <v>388</v>
      </c>
      <c r="G2" s="379" t="s">
        <v>42</v>
      </c>
      <c r="H2" s="379" t="s">
        <v>746</v>
      </c>
      <c r="I2" s="379" t="s">
        <v>386</v>
      </c>
      <c r="J2" s="379" t="s">
        <v>568</v>
      </c>
      <c r="K2" s="379" t="s">
        <v>612</v>
      </c>
      <c r="L2" s="379" t="s">
        <v>574</v>
      </c>
      <c r="M2" s="379" t="s">
        <v>44</v>
      </c>
      <c r="N2" s="379" t="s">
        <v>575</v>
      </c>
      <c r="O2" s="379" t="s">
        <v>854</v>
      </c>
      <c r="P2" s="379" t="s">
        <v>739</v>
      </c>
      <c r="Q2" s="379" t="s">
        <v>567</v>
      </c>
      <c r="R2" s="379" t="s">
        <v>1040</v>
      </c>
      <c r="S2" s="379" t="s">
        <v>744</v>
      </c>
      <c r="T2" s="379" t="s">
        <v>745</v>
      </c>
      <c r="U2" s="379" t="s">
        <v>623</v>
      </c>
      <c r="V2" s="379" t="s">
        <v>627</v>
      </c>
      <c r="W2" s="379" t="s">
        <v>749</v>
      </c>
      <c r="X2" s="379" t="s">
        <v>45</v>
      </c>
      <c r="Y2" s="379" t="s">
        <v>747</v>
      </c>
      <c r="Z2" s="379" t="s">
        <v>48</v>
      </c>
      <c r="AA2" s="379" t="s">
        <v>748</v>
      </c>
      <c r="AB2" s="379" t="s">
        <v>736</v>
      </c>
      <c r="AC2" s="379" t="s">
        <v>564</v>
      </c>
      <c r="AD2" s="379" t="s">
        <v>569</v>
      </c>
      <c r="AE2" s="379" t="s">
        <v>773</v>
      </c>
      <c r="AF2" s="379" t="s">
        <v>565</v>
      </c>
      <c r="AG2" s="379" t="s">
        <v>740</v>
      </c>
      <c r="AH2" s="379" t="s">
        <v>737</v>
      </c>
      <c r="AI2" s="396" t="s">
        <v>1116</v>
      </c>
      <c r="AJ2" s="379" t="s">
        <v>735</v>
      </c>
      <c r="AK2" s="379" t="s">
        <v>738</v>
      </c>
      <c r="AL2" s="379" t="s">
        <v>566</v>
      </c>
      <c r="AM2" s="379" t="s">
        <v>52</v>
      </c>
      <c r="AN2" s="379" t="s">
        <v>741</v>
      </c>
      <c r="AO2" s="379" t="s">
        <v>742</v>
      </c>
      <c r="AP2" s="379" t="s">
        <v>743</v>
      </c>
      <c r="AQ2" s="379" t="s">
        <v>751</v>
      </c>
      <c r="AR2" s="379" t="s">
        <v>759</v>
      </c>
      <c r="AS2" s="379" t="s">
        <v>754</v>
      </c>
      <c r="AT2" s="379" t="s">
        <v>857</v>
      </c>
      <c r="AU2" s="379" t="s">
        <v>576</v>
      </c>
      <c r="AV2" s="379" t="s">
        <v>750</v>
      </c>
      <c r="AW2" s="379" t="s">
        <v>752</v>
      </c>
      <c r="AX2" s="379" t="s">
        <v>755</v>
      </c>
      <c r="AY2" s="379" t="s">
        <v>910</v>
      </c>
      <c r="AZ2" s="379" t="s">
        <v>758</v>
      </c>
      <c r="BA2" s="379" t="s">
        <v>753</v>
      </c>
      <c r="BB2" s="379" t="s">
        <v>909</v>
      </c>
      <c r="BC2" s="379" t="s">
        <v>756</v>
      </c>
      <c r="BD2" s="379" t="s">
        <v>772</v>
      </c>
      <c r="BE2" s="379" t="s">
        <v>855</v>
      </c>
      <c r="BF2" s="379" t="s">
        <v>761</v>
      </c>
      <c r="BG2" s="379" t="s">
        <v>769</v>
      </c>
      <c r="BH2" s="379" t="s">
        <v>760</v>
      </c>
      <c r="BI2" s="379" t="s">
        <v>767</v>
      </c>
      <c r="BJ2" s="379" t="s">
        <v>764</v>
      </c>
      <c r="BK2" s="379" t="s">
        <v>676</v>
      </c>
      <c r="BL2" s="379" t="s">
        <v>677</v>
      </c>
      <c r="BM2" s="379" t="s">
        <v>680</v>
      </c>
      <c r="BN2" s="379" t="s">
        <v>762</v>
      </c>
      <c r="BO2" s="379" t="s">
        <v>765</v>
      </c>
      <c r="BP2" s="379" t="s">
        <v>911</v>
      </c>
      <c r="BQ2" s="379" t="s">
        <v>771</v>
      </c>
      <c r="BR2" s="379" t="s">
        <v>687</v>
      </c>
      <c r="BS2" s="379" t="s">
        <v>768</v>
      </c>
      <c r="BT2" s="379" t="s">
        <v>856</v>
      </c>
      <c r="BU2" s="379" t="s">
        <v>949</v>
      </c>
      <c r="BV2" s="379" t="s">
        <v>763</v>
      </c>
      <c r="BW2" s="396" t="s">
        <v>1117</v>
      </c>
      <c r="BX2" s="379" t="s">
        <v>702</v>
      </c>
      <c r="BY2" s="379" t="s">
        <v>770</v>
      </c>
      <c r="BZ2" s="380" t="s">
        <v>406</v>
      </c>
    </row>
    <row r="3" spans="1:78">
      <c r="A3" s="128" t="s">
        <v>379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f>548.2</f>
        <v>548.20000000000005</v>
      </c>
      <c r="AD3" s="35">
        <v>1822</v>
      </c>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222">
        <f t="shared" ref="BZ3:BZ41" si="0">SUM(B3:BY3)</f>
        <v>2370.1999999999998</v>
      </c>
    </row>
    <row r="4" spans="1:78">
      <c r="A4" s="128" t="s">
        <v>380</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f>628.5+432.655</f>
        <v>1061.155</v>
      </c>
      <c r="AD4" s="35">
        <v>1393.2449999999999</v>
      </c>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222">
        <f t="shared" si="0"/>
        <v>2454.3999999999996</v>
      </c>
    </row>
    <row r="5" spans="1:78">
      <c r="A5" s="128" t="s">
        <v>381</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f>151.3+22489.439</f>
        <v>22640.738999999998</v>
      </c>
      <c r="AD5" s="35">
        <v>28048.35</v>
      </c>
      <c r="AE5" s="35"/>
      <c r="AF5" s="35">
        <v>910</v>
      </c>
      <c r="AG5" s="35"/>
      <c r="AH5" s="35"/>
      <c r="AI5" s="35"/>
      <c r="AJ5" s="35"/>
      <c r="AK5" s="35"/>
      <c r="AL5" s="35"/>
      <c r="AM5" s="35"/>
      <c r="AN5" s="35"/>
      <c r="AO5" s="35"/>
      <c r="AP5" s="35"/>
      <c r="AQ5" s="35"/>
      <c r="AR5" s="35"/>
      <c r="AS5" s="35"/>
      <c r="AT5" s="35"/>
      <c r="AU5" s="35">
        <v>3746.6480000000001</v>
      </c>
      <c r="AV5" s="35">
        <v>8694.4519999999993</v>
      </c>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222">
        <f t="shared" si="0"/>
        <v>64040.188999999991</v>
      </c>
    </row>
    <row r="6" spans="1:78">
      <c r="A6" s="128" t="s">
        <v>445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v>18.2</v>
      </c>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222">
        <f t="shared" si="0"/>
        <v>18.2</v>
      </c>
    </row>
    <row r="7" spans="1:78">
      <c r="A7" s="128" t="s">
        <v>382</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f>5594.195+60+245.891</f>
        <v>5900.0859999999993</v>
      </c>
      <c r="AD7" s="35">
        <f>13964.005+814.209</f>
        <v>14778.214</v>
      </c>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222">
        <f t="shared" si="0"/>
        <v>20678.3</v>
      </c>
    </row>
    <row r="8" spans="1:78">
      <c r="A8" s="128" t="s">
        <v>453</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222">
        <f t="shared" si="0"/>
        <v>0</v>
      </c>
    </row>
    <row r="9" spans="1:78">
      <c r="A9" s="128" t="s">
        <v>383</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v>1000</v>
      </c>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222">
        <f t="shared" si="0"/>
        <v>1000</v>
      </c>
    </row>
    <row r="10" spans="1:78">
      <c r="A10" s="128" t="s">
        <v>384</v>
      </c>
      <c r="B10" s="35">
        <v>3153.1</v>
      </c>
      <c r="C10" s="35"/>
      <c r="D10" s="35"/>
      <c r="E10" s="35"/>
      <c r="F10" s="35"/>
      <c r="G10" s="35"/>
      <c r="H10" s="35"/>
      <c r="I10" s="35"/>
      <c r="J10" s="35"/>
      <c r="K10" s="35"/>
      <c r="L10" s="35"/>
      <c r="M10" s="35"/>
      <c r="N10" s="35"/>
      <c r="O10" s="35"/>
      <c r="P10" s="35">
        <v>2450.1</v>
      </c>
      <c r="Q10" s="35"/>
      <c r="R10" s="35"/>
      <c r="S10" s="35"/>
      <c r="T10" s="35"/>
      <c r="U10" s="35"/>
      <c r="V10" s="35"/>
      <c r="W10" s="35"/>
      <c r="X10" s="35"/>
      <c r="Y10" s="35"/>
      <c r="Z10" s="35"/>
      <c r="AA10" s="35"/>
      <c r="AB10" s="35"/>
      <c r="AC10" s="35"/>
      <c r="AD10" s="35"/>
      <c r="AE10" s="35"/>
      <c r="AF10" s="35"/>
      <c r="AG10" s="35">
        <f>2820.9+8854.7+20</f>
        <v>11695.6</v>
      </c>
      <c r="AH10" s="35"/>
      <c r="AI10" s="35"/>
      <c r="AJ10" s="35"/>
      <c r="AK10" s="35"/>
      <c r="AL10" s="35"/>
      <c r="AM10" s="35"/>
      <c r="AN10" s="35">
        <v>1954.5</v>
      </c>
      <c r="AO10" s="35">
        <f>127.034+15</f>
        <v>142.03399999999999</v>
      </c>
      <c r="AP10" s="35">
        <f>189.384</f>
        <v>189.38399999999999</v>
      </c>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222">
        <f t="shared" si="0"/>
        <v>19584.717999999997</v>
      </c>
    </row>
    <row r="11" spans="1:78">
      <c r="A11" s="128" t="s">
        <v>407</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222">
        <f t="shared" si="0"/>
        <v>0</v>
      </c>
    </row>
    <row r="12" spans="1:78">
      <c r="A12" s="128" t="s">
        <v>387</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222">
        <f t="shared" si="0"/>
        <v>0</v>
      </c>
    </row>
    <row r="13" spans="1:78">
      <c r="A13" s="128" t="s">
        <v>408</v>
      </c>
      <c r="B13" s="35"/>
      <c r="C13" s="35"/>
      <c r="D13" s="35"/>
      <c r="E13" s="35"/>
      <c r="F13" s="35"/>
      <c r="G13" s="35">
        <f>150+158.1</f>
        <v>308.10000000000002</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222">
        <f t="shared" si="0"/>
        <v>308.10000000000002</v>
      </c>
    </row>
    <row r="14" spans="1:78">
      <c r="A14" s="128" t="s">
        <v>410</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v>50.863</v>
      </c>
      <c r="AV14" s="35">
        <v>161.137</v>
      </c>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222">
        <f t="shared" si="0"/>
        <v>212</v>
      </c>
    </row>
    <row r="15" spans="1:78">
      <c r="A15" s="128" t="s">
        <v>389</v>
      </c>
      <c r="B15" s="35"/>
      <c r="C15" s="35"/>
      <c r="D15" s="35"/>
      <c r="E15" s="35"/>
      <c r="F15" s="35"/>
      <c r="G15" s="35"/>
      <c r="H15" s="35"/>
      <c r="I15" s="35"/>
      <c r="J15" s="35"/>
      <c r="K15" s="35"/>
      <c r="L15" s="35"/>
      <c r="M15" s="35"/>
      <c r="N15" s="35"/>
      <c r="O15" s="35"/>
      <c r="P15" s="35"/>
      <c r="Q15" s="35"/>
      <c r="R15" s="35"/>
      <c r="S15" s="35"/>
      <c r="T15" s="35">
        <v>355</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f>579.104+12.94</f>
        <v>592.0440000000001</v>
      </c>
      <c r="AV15" s="35">
        <f>1339.896+40.8</f>
        <v>1380.6959999999999</v>
      </c>
      <c r="AW15" s="35">
        <f>74.9+365.7+7609.5+400+1000+310.7</f>
        <v>9760.8000000000011</v>
      </c>
      <c r="AX15" s="35"/>
      <c r="AY15" s="35"/>
      <c r="AZ15" s="35"/>
      <c r="BA15" s="35">
        <v>641.79999999999995</v>
      </c>
      <c r="BB15" s="35"/>
      <c r="BC15" s="35"/>
      <c r="BD15" s="35"/>
      <c r="BE15" s="35"/>
      <c r="BF15" s="35"/>
      <c r="BG15" s="35"/>
      <c r="BH15" s="35"/>
      <c r="BI15" s="35"/>
      <c r="BJ15" s="35"/>
      <c r="BK15" s="35"/>
      <c r="BL15" s="35"/>
      <c r="BM15" s="35"/>
      <c r="BN15" s="35"/>
      <c r="BO15" s="35"/>
      <c r="BP15" s="35"/>
      <c r="BQ15" s="35"/>
      <c r="BR15" s="35"/>
      <c r="BS15" s="35"/>
      <c r="BT15" s="35"/>
      <c r="BU15" s="35"/>
      <c r="BV15" s="35"/>
      <c r="BW15" s="35">
        <v>43.8</v>
      </c>
      <c r="BX15" s="35"/>
      <c r="BY15" s="35"/>
      <c r="BZ15" s="222">
        <f t="shared" si="0"/>
        <v>12774.14</v>
      </c>
    </row>
    <row r="16" spans="1:78">
      <c r="A16" s="128" t="s">
        <v>390</v>
      </c>
      <c r="B16" s="35"/>
      <c r="C16" s="35"/>
      <c r="D16" s="35"/>
      <c r="E16" s="35"/>
      <c r="F16" s="35"/>
      <c r="G16" s="35"/>
      <c r="H16" s="35"/>
      <c r="I16" s="35"/>
      <c r="J16" s="35"/>
      <c r="K16" s="35"/>
      <c r="L16" s="35"/>
      <c r="M16" s="35"/>
      <c r="N16" s="35"/>
      <c r="O16" s="35"/>
      <c r="P16" s="35"/>
      <c r="Q16" s="35"/>
      <c r="R16" s="35"/>
      <c r="S16" s="35">
        <v>500</v>
      </c>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222">
        <f t="shared" si="0"/>
        <v>500</v>
      </c>
    </row>
    <row r="17" spans="1:78">
      <c r="A17" s="128" t="s">
        <v>391</v>
      </c>
      <c r="B17" s="35"/>
      <c r="C17" s="35"/>
      <c r="D17" s="35"/>
      <c r="E17" s="35">
        <f>3216.2</f>
        <v>3216.2</v>
      </c>
      <c r="F17" s="35">
        <v>3356.2</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v>12000</v>
      </c>
      <c r="BM17" s="35"/>
      <c r="BN17" s="35"/>
      <c r="BO17" s="35"/>
      <c r="BP17" s="35"/>
      <c r="BQ17" s="35"/>
      <c r="BR17" s="35"/>
      <c r="BS17" s="35"/>
      <c r="BT17" s="35"/>
      <c r="BU17" s="35"/>
      <c r="BV17" s="35"/>
      <c r="BW17" s="35"/>
      <c r="BX17" s="35"/>
      <c r="BY17" s="35"/>
      <c r="BZ17" s="222">
        <f t="shared" si="0"/>
        <v>18572.400000000001</v>
      </c>
    </row>
    <row r="18" spans="1:78">
      <c r="A18" s="128" t="s">
        <v>392</v>
      </c>
      <c r="B18" s="35"/>
      <c r="C18" s="35"/>
      <c r="D18" s="35">
        <v>3588.3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v>39514</v>
      </c>
      <c r="BK18" s="35"/>
      <c r="BL18" s="35"/>
      <c r="BM18" s="35"/>
      <c r="BN18" s="35"/>
      <c r="BO18" s="35"/>
      <c r="BP18" s="35"/>
      <c r="BQ18" s="35"/>
      <c r="BR18" s="35"/>
      <c r="BS18" s="35"/>
      <c r="BT18" s="35"/>
      <c r="BU18" s="35"/>
      <c r="BV18" s="35"/>
      <c r="BW18" s="35"/>
      <c r="BX18" s="35"/>
      <c r="BY18" s="35"/>
      <c r="BZ18" s="222">
        <f t="shared" si="0"/>
        <v>43102.3</v>
      </c>
    </row>
    <row r="19" spans="1:78">
      <c r="A19" s="128" t="s">
        <v>766</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222">
        <f t="shared" si="0"/>
        <v>0</v>
      </c>
    </row>
    <row r="20" spans="1:78">
      <c r="A20" s="128" t="s">
        <v>394</v>
      </c>
      <c r="B20" s="35"/>
      <c r="C20" s="35"/>
      <c r="D20" s="35"/>
      <c r="E20" s="35"/>
      <c r="F20" s="35"/>
      <c r="G20" s="35"/>
      <c r="H20" s="35"/>
      <c r="I20" s="35"/>
      <c r="J20" s="35"/>
      <c r="K20" s="35"/>
      <c r="L20" s="35"/>
      <c r="M20" s="35"/>
      <c r="N20" s="35"/>
      <c r="O20" s="35"/>
      <c r="P20" s="35"/>
      <c r="Q20" s="35"/>
      <c r="R20" s="35"/>
      <c r="S20" s="35"/>
      <c r="T20" s="35"/>
      <c r="U20" s="35">
        <v>550</v>
      </c>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222">
        <f t="shared" si="0"/>
        <v>550</v>
      </c>
    </row>
    <row r="21" spans="1:78">
      <c r="A21" s="128" t="s">
        <v>409</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v>128</v>
      </c>
      <c r="BL21" s="35"/>
      <c r="BM21" s="35"/>
      <c r="BN21" s="35"/>
      <c r="BO21" s="35"/>
      <c r="BP21" s="35"/>
      <c r="BQ21" s="35"/>
      <c r="BR21" s="35"/>
      <c r="BS21" s="35"/>
      <c r="BT21" s="35"/>
      <c r="BU21" s="35"/>
      <c r="BV21" s="35"/>
      <c r="BW21" s="35"/>
      <c r="BX21" s="35"/>
      <c r="BY21" s="35"/>
      <c r="BZ21" s="222">
        <f t="shared" si="0"/>
        <v>128</v>
      </c>
    </row>
    <row r="22" spans="1:78">
      <c r="A22" s="128" t="s">
        <v>395</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f>29199.7+11000</f>
        <v>40199.699999999997</v>
      </c>
      <c r="BJ22" s="35"/>
      <c r="BK22" s="35"/>
      <c r="BL22" s="35"/>
      <c r="BM22" s="35"/>
      <c r="BN22" s="35"/>
      <c r="BO22" s="35">
        <v>68749.2</v>
      </c>
      <c r="BP22" s="35"/>
      <c r="BQ22" s="35"/>
      <c r="BR22" s="35"/>
      <c r="BS22" s="35"/>
      <c r="BT22" s="35"/>
      <c r="BU22" s="35"/>
      <c r="BV22" s="35"/>
      <c r="BW22" s="35"/>
      <c r="BX22" s="35"/>
      <c r="BY22" s="35"/>
      <c r="BZ22" s="222">
        <f t="shared" si="0"/>
        <v>108948.9</v>
      </c>
    </row>
    <row r="23" spans="1:78">
      <c r="A23" s="128" t="s">
        <v>396</v>
      </c>
      <c r="B23" s="35"/>
      <c r="C23" s="35"/>
      <c r="D23" s="35"/>
      <c r="E23" s="35"/>
      <c r="F23" s="35"/>
      <c r="G23" s="35"/>
      <c r="H23" s="35"/>
      <c r="I23" s="35"/>
      <c r="J23" s="35"/>
      <c r="K23" s="35"/>
      <c r="L23" s="35"/>
      <c r="M23" s="35"/>
      <c r="N23" s="35">
        <v>1602.2</v>
      </c>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v>14859.5</v>
      </c>
      <c r="BP23" s="35"/>
      <c r="BQ23" s="35"/>
      <c r="BR23" s="35"/>
      <c r="BS23" s="35"/>
      <c r="BT23" s="35"/>
      <c r="BU23" s="35"/>
      <c r="BV23" s="35"/>
      <c r="BW23" s="35"/>
      <c r="BX23" s="35"/>
      <c r="BY23" s="35"/>
      <c r="BZ23" s="222">
        <f t="shared" si="0"/>
        <v>16461.7</v>
      </c>
    </row>
    <row r="24" spans="1:78" hidden="1">
      <c r="A24" s="128" t="s">
        <v>505</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222">
        <f t="shared" si="0"/>
        <v>0</v>
      </c>
    </row>
    <row r="25" spans="1:78">
      <c r="A25" s="128" t="s">
        <v>397</v>
      </c>
      <c r="B25" s="35"/>
      <c r="C25" s="35"/>
      <c r="D25" s="35"/>
      <c r="E25" s="35"/>
      <c r="F25" s="35"/>
      <c r="G25" s="35"/>
      <c r="H25" s="35">
        <v>75325</v>
      </c>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v>93.744</v>
      </c>
      <c r="AY25" s="35"/>
      <c r="AZ25" s="35"/>
      <c r="BA25" s="35"/>
      <c r="BB25" s="35">
        <f>434.5+445.6</f>
        <v>880.1</v>
      </c>
      <c r="BC25" s="35">
        <v>108359.3</v>
      </c>
      <c r="BD25" s="35"/>
      <c r="BE25" s="35"/>
      <c r="BF25" s="35"/>
      <c r="BG25" s="35"/>
      <c r="BH25" s="35"/>
      <c r="BI25" s="35"/>
      <c r="BJ25" s="35"/>
      <c r="BK25" s="35"/>
      <c r="BL25" s="35"/>
      <c r="BM25" s="35"/>
      <c r="BN25" s="35"/>
      <c r="BO25" s="35"/>
      <c r="BP25" s="35"/>
      <c r="BQ25" s="35"/>
      <c r="BR25" s="35"/>
      <c r="BS25" s="35"/>
      <c r="BT25" s="35"/>
      <c r="BU25" s="35"/>
      <c r="BV25" s="35"/>
      <c r="BW25" s="35"/>
      <c r="BX25" s="35"/>
      <c r="BY25" s="35"/>
      <c r="BZ25" s="222">
        <f t="shared" si="0"/>
        <v>184658.14400000003</v>
      </c>
    </row>
    <row r="26" spans="1:78">
      <c r="A26" s="128" t="s">
        <v>398</v>
      </c>
      <c r="B26" s="35"/>
      <c r="C26" s="35"/>
      <c r="D26" s="35"/>
      <c r="E26" s="35"/>
      <c r="F26" s="35"/>
      <c r="G26" s="35"/>
      <c r="H26" s="35">
        <v>32241.5</v>
      </c>
      <c r="I26" s="35">
        <f>5.2+22297.545+1661.4+7890.9+699.7+3906.7+857.8</f>
        <v>37319.245000000003</v>
      </c>
      <c r="J26" s="35">
        <f>38114.755+80+1305.5+7890.9+1004.3+3906.7</f>
        <v>52302.154999999999</v>
      </c>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v>969.00800000000004</v>
      </c>
      <c r="AY26" s="35"/>
      <c r="AZ26" s="35">
        <v>1603</v>
      </c>
      <c r="BA26" s="35"/>
      <c r="BB26" s="35">
        <v>14508.8</v>
      </c>
      <c r="BC26" s="35">
        <f>452059.9+37618.6</f>
        <v>489678.5</v>
      </c>
      <c r="BD26" s="35"/>
      <c r="BE26" s="35"/>
      <c r="BF26" s="35"/>
      <c r="BG26" s="35"/>
      <c r="BH26" s="35"/>
      <c r="BI26" s="35"/>
      <c r="BJ26" s="35"/>
      <c r="BK26" s="35"/>
      <c r="BL26" s="35"/>
      <c r="BM26" s="35"/>
      <c r="BN26" s="35"/>
      <c r="BO26" s="35"/>
      <c r="BP26" s="35"/>
      <c r="BQ26" s="35"/>
      <c r="BR26" s="35"/>
      <c r="BS26" s="35"/>
      <c r="BT26" s="35"/>
      <c r="BU26" s="35"/>
      <c r="BV26" s="35"/>
      <c r="BW26" s="35"/>
      <c r="BX26" s="35"/>
      <c r="BY26" s="35"/>
      <c r="BZ26" s="222">
        <f t="shared" si="0"/>
        <v>628622.20799999998</v>
      </c>
    </row>
    <row r="27" spans="1:78">
      <c r="A27" s="128" t="s">
        <v>454</v>
      </c>
      <c r="B27" s="35"/>
      <c r="C27" s="35"/>
      <c r="D27" s="35"/>
      <c r="E27" s="35"/>
      <c r="F27" s="35"/>
      <c r="G27" s="35"/>
      <c r="H27" s="35"/>
      <c r="I27" s="35"/>
      <c r="J27" s="35"/>
      <c r="K27" s="35">
        <f>44291.8+2430.9</f>
        <v>46722.700000000004</v>
      </c>
      <c r="L27" s="35"/>
      <c r="M27" s="35">
        <v>506.6</v>
      </c>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v>31.248000000000001</v>
      </c>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222">
        <f t="shared" si="0"/>
        <v>47260.548000000003</v>
      </c>
    </row>
    <row r="28" spans="1:78">
      <c r="A28" s="128" t="s">
        <v>1115</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v>3570</v>
      </c>
      <c r="AJ28" s="35"/>
      <c r="AK28" s="35"/>
      <c r="AL28" s="35"/>
      <c r="AM28" s="35"/>
      <c r="AN28" s="35"/>
      <c r="AO28" s="35"/>
      <c r="AP28" s="35"/>
      <c r="AQ28" s="35"/>
      <c r="AR28" s="35"/>
      <c r="AS28" s="35"/>
      <c r="AT28" s="35"/>
      <c r="AU28" s="35">
        <v>40</v>
      </c>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222">
        <f t="shared" si="0"/>
        <v>3610</v>
      </c>
    </row>
    <row r="29" spans="1:78">
      <c r="A29" s="128" t="s">
        <v>399</v>
      </c>
      <c r="B29" s="35"/>
      <c r="C29" s="35"/>
      <c r="D29" s="35"/>
      <c r="E29" s="35"/>
      <c r="F29" s="35"/>
      <c r="G29" s="35"/>
      <c r="H29" s="35"/>
      <c r="I29" s="35"/>
      <c r="J29" s="35"/>
      <c r="K29" s="35"/>
      <c r="L29" s="35">
        <f>2937.5+4729.3</f>
        <v>7666.8</v>
      </c>
      <c r="M29" s="35"/>
      <c r="N29" s="35"/>
      <c r="O29" s="35"/>
      <c r="P29" s="35"/>
      <c r="Q29" s="35"/>
      <c r="R29" s="35"/>
      <c r="S29" s="35"/>
      <c r="T29" s="35"/>
      <c r="U29" s="35"/>
      <c r="V29" s="35"/>
      <c r="W29" s="35"/>
      <c r="X29" s="35">
        <v>300</v>
      </c>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222">
        <f t="shared" si="0"/>
        <v>7966.8</v>
      </c>
    </row>
    <row r="30" spans="1:78">
      <c r="A30" s="128" t="s">
        <v>400</v>
      </c>
      <c r="B30" s="35"/>
      <c r="C30" s="35"/>
      <c r="D30" s="35"/>
      <c r="E30" s="35"/>
      <c r="F30" s="35"/>
      <c r="G30" s="35"/>
      <c r="H30" s="35"/>
      <c r="I30" s="35"/>
      <c r="J30" s="35"/>
      <c r="K30" s="35"/>
      <c r="L30" s="35"/>
      <c r="M30" s="35">
        <v>319.39999999999998</v>
      </c>
      <c r="N30" s="35"/>
      <c r="O30" s="35"/>
      <c r="P30" s="35"/>
      <c r="Q30" s="35"/>
      <c r="R30" s="35"/>
      <c r="S30" s="35"/>
      <c r="T30" s="35"/>
      <c r="U30" s="35"/>
      <c r="V30" s="35"/>
      <c r="W30" s="35"/>
      <c r="X30" s="35"/>
      <c r="Y30" s="35"/>
      <c r="Z30" s="35"/>
      <c r="AA30" s="35"/>
      <c r="AB30" s="35"/>
      <c r="AC30" s="35">
        <v>5440.4</v>
      </c>
      <c r="AD30" s="35">
        <v>11923.6</v>
      </c>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222">
        <f t="shared" si="0"/>
        <v>17683.400000000001</v>
      </c>
    </row>
    <row r="31" spans="1:78" s="129" customFormat="1">
      <c r="A31" s="128" t="s">
        <v>401</v>
      </c>
      <c r="B31" s="35"/>
      <c r="C31" s="35"/>
      <c r="D31" s="35"/>
      <c r="E31" s="35"/>
      <c r="F31" s="35"/>
      <c r="G31" s="35"/>
      <c r="H31" s="35"/>
      <c r="I31" s="35"/>
      <c r="J31" s="35"/>
      <c r="K31" s="35"/>
      <c r="L31" s="35"/>
      <c r="M31" s="35"/>
      <c r="N31" s="35"/>
      <c r="O31" s="35"/>
      <c r="P31" s="35"/>
      <c r="Q31" s="35">
        <f>2634.6+1818.4</f>
        <v>4453</v>
      </c>
      <c r="R31" s="35"/>
      <c r="S31" s="35"/>
      <c r="T31" s="35"/>
      <c r="U31" s="35"/>
      <c r="V31" s="35"/>
      <c r="W31" s="35"/>
      <c r="X31" s="35"/>
      <c r="Y31" s="35">
        <v>9459.4</v>
      </c>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222">
        <f t="shared" si="0"/>
        <v>13912.4</v>
      </c>
    </row>
    <row r="32" spans="1:78">
      <c r="A32" s="128" t="s">
        <v>402</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f>3132.4+50.2</f>
        <v>3182.6</v>
      </c>
      <c r="AD32" s="35">
        <v>6880.9</v>
      </c>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222">
        <f t="shared" si="0"/>
        <v>10063.5</v>
      </c>
    </row>
    <row r="33" spans="1:79">
      <c r="A33" s="128" t="s">
        <v>403</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f>200+300+2497.5+1500</f>
        <v>4497.5</v>
      </c>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222">
        <f t="shared" si="0"/>
        <v>4497.5</v>
      </c>
    </row>
    <row r="34" spans="1:79">
      <c r="A34" s="128" t="s">
        <v>385</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v>1043.5</v>
      </c>
      <c r="AS34" s="35"/>
      <c r="AT34" s="35"/>
      <c r="AU34" s="35"/>
      <c r="AV34" s="35"/>
      <c r="AW34" s="35"/>
      <c r="AX34" s="35"/>
      <c r="AY34" s="35"/>
      <c r="AZ34" s="35">
        <f>115+25822+15288+84</f>
        <v>41309</v>
      </c>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222">
        <f t="shared" si="0"/>
        <v>42352.5</v>
      </c>
    </row>
    <row r="35" spans="1:79">
      <c r="A35" s="128" t="s">
        <v>393</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v>2.8</v>
      </c>
      <c r="AN35" s="35"/>
      <c r="AO35" s="35"/>
      <c r="AP35" s="35"/>
      <c r="AQ35" s="35"/>
      <c r="AR35" s="35"/>
      <c r="AS35" s="35"/>
      <c r="AT35" s="35"/>
      <c r="AU35" s="35">
        <f>1.8+5.855</f>
        <v>7.6550000000000002</v>
      </c>
      <c r="AV35" s="35">
        <v>13.545</v>
      </c>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222">
        <f t="shared" si="0"/>
        <v>24</v>
      </c>
    </row>
    <row r="36" spans="1:79">
      <c r="A36" s="128" t="s">
        <v>378</v>
      </c>
      <c r="B36" s="35"/>
      <c r="C36" s="35"/>
      <c r="D36" s="35"/>
      <c r="E36" s="35"/>
      <c r="F36" s="35"/>
      <c r="G36" s="35"/>
      <c r="H36" s="35"/>
      <c r="I36" s="35"/>
      <c r="J36" s="35"/>
      <c r="K36" s="35"/>
      <c r="L36" s="35"/>
      <c r="M36" s="35"/>
      <c r="N36" s="35"/>
      <c r="O36" s="35"/>
      <c r="P36" s="35"/>
      <c r="Q36" s="35"/>
      <c r="R36" s="35"/>
      <c r="S36" s="35"/>
      <c r="T36" s="35"/>
      <c r="U36" s="35"/>
      <c r="V36" s="35">
        <v>4768.5</v>
      </c>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v>7210.6</v>
      </c>
      <c r="BR36" s="35"/>
      <c r="BS36" s="35"/>
      <c r="BT36" s="35"/>
      <c r="BU36" s="35"/>
      <c r="BV36" s="35"/>
      <c r="BW36" s="35"/>
      <c r="BX36" s="35"/>
      <c r="BY36" s="35"/>
      <c r="BZ36" s="222">
        <f t="shared" si="0"/>
        <v>11979.1</v>
      </c>
    </row>
    <row r="37" spans="1:79">
      <c r="A37" s="128" t="s">
        <v>404</v>
      </c>
      <c r="B37" s="35"/>
      <c r="C37" s="35"/>
      <c r="D37" s="35"/>
      <c r="E37" s="35"/>
      <c r="F37" s="35"/>
      <c r="G37" s="35"/>
      <c r="H37" s="35"/>
      <c r="I37" s="35"/>
      <c r="J37" s="35"/>
      <c r="K37" s="35"/>
      <c r="L37" s="35"/>
      <c r="M37" s="35"/>
      <c r="N37" s="35"/>
      <c r="O37" s="35"/>
      <c r="P37" s="35"/>
      <c r="Q37" s="35"/>
      <c r="R37" s="35"/>
      <c r="S37" s="35"/>
      <c r="T37" s="35"/>
      <c r="U37" s="35"/>
      <c r="V37" s="35"/>
      <c r="W37" s="35">
        <f>3299+131566.2+900</f>
        <v>135765.20000000001</v>
      </c>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222">
        <f t="shared" si="0"/>
        <v>135765.20000000001</v>
      </c>
    </row>
    <row r="38" spans="1:79" ht="12.75" customHeight="1">
      <c r="A38" s="128" t="s">
        <v>47</v>
      </c>
      <c r="B38" s="35"/>
      <c r="C38" s="35"/>
      <c r="D38" s="35"/>
      <c r="E38" s="35"/>
      <c r="F38" s="35"/>
      <c r="G38" s="35"/>
      <c r="H38" s="35"/>
      <c r="I38" s="35"/>
      <c r="J38" s="35"/>
      <c r="K38" s="35"/>
      <c r="L38" s="35"/>
      <c r="M38" s="35"/>
      <c r="N38" s="35"/>
      <c r="O38" s="35"/>
      <c r="P38" s="35"/>
      <c r="Q38" s="35"/>
      <c r="R38" s="35"/>
      <c r="S38" s="35"/>
      <c r="T38" s="35"/>
      <c r="U38" s="35"/>
      <c r="V38" s="35"/>
      <c r="W38" s="35">
        <f>209.2+13.2</f>
        <v>222.39999999999998</v>
      </c>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222">
        <f t="shared" si="0"/>
        <v>222.39999999999998</v>
      </c>
    </row>
    <row r="39" spans="1:79">
      <c r="A39" s="128" t="s">
        <v>405</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v>70.099999999999994</v>
      </c>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222">
        <f t="shared" si="0"/>
        <v>70.099999999999994</v>
      </c>
    </row>
    <row r="40" spans="1:79">
      <c r="A40" s="128" t="s">
        <v>50</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v>60888</v>
      </c>
      <c r="BE40" s="35"/>
      <c r="BF40" s="35"/>
      <c r="BG40" s="35"/>
      <c r="BH40" s="35"/>
      <c r="BI40" s="35"/>
      <c r="BJ40" s="35"/>
      <c r="BK40" s="35"/>
      <c r="BL40" s="35"/>
      <c r="BM40" s="35"/>
      <c r="BN40" s="35"/>
      <c r="BO40" s="35"/>
      <c r="BP40" s="35"/>
      <c r="BQ40" s="35"/>
      <c r="BR40" s="35"/>
      <c r="BS40" s="35"/>
      <c r="BT40" s="35"/>
      <c r="BU40" s="35"/>
      <c r="BV40" s="35"/>
      <c r="BW40" s="35"/>
      <c r="BX40" s="35"/>
      <c r="BY40" s="35"/>
      <c r="BZ40" s="222">
        <f t="shared" si="0"/>
        <v>60888</v>
      </c>
    </row>
    <row r="41" spans="1:79">
      <c r="A41" s="128" t="s">
        <v>51</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v>61511.5</v>
      </c>
      <c r="BY41" s="35"/>
      <c r="BZ41" s="222">
        <f t="shared" si="0"/>
        <v>61511.5</v>
      </c>
    </row>
    <row r="42" spans="1:79" s="129" customFormat="1">
      <c r="A42" s="128" t="s">
        <v>406</v>
      </c>
      <c r="B42" s="35">
        <f>SUM(B3:B41)</f>
        <v>3153.1</v>
      </c>
      <c r="C42" s="35">
        <f t="shared" ref="C42:BP42" si="1">SUM(C3:C41)</f>
        <v>0</v>
      </c>
      <c r="D42" s="35">
        <f t="shared" si="1"/>
        <v>3588.3</v>
      </c>
      <c r="E42" s="35">
        <f t="shared" si="1"/>
        <v>3216.2</v>
      </c>
      <c r="F42" s="35">
        <f t="shared" si="1"/>
        <v>3356.2</v>
      </c>
      <c r="G42" s="35">
        <f t="shared" si="1"/>
        <v>308.10000000000002</v>
      </c>
      <c r="H42" s="35">
        <f t="shared" si="1"/>
        <v>107566.5</v>
      </c>
      <c r="I42" s="349">
        <f t="shared" si="1"/>
        <v>37319.245000000003</v>
      </c>
      <c r="J42" s="349">
        <f t="shared" si="1"/>
        <v>52302.154999999999</v>
      </c>
      <c r="K42" s="349">
        <f t="shared" si="1"/>
        <v>46722.700000000004</v>
      </c>
      <c r="L42" s="349">
        <f t="shared" si="1"/>
        <v>7666.8</v>
      </c>
      <c r="M42" s="35">
        <f t="shared" si="1"/>
        <v>826</v>
      </c>
      <c r="N42" s="35">
        <f t="shared" si="1"/>
        <v>1602.2</v>
      </c>
      <c r="O42" s="35">
        <f t="shared" si="1"/>
        <v>0</v>
      </c>
      <c r="P42" s="35">
        <f t="shared" si="1"/>
        <v>2450.1</v>
      </c>
      <c r="Q42" s="349">
        <f t="shared" si="1"/>
        <v>4453</v>
      </c>
      <c r="R42" s="35">
        <f t="shared" si="1"/>
        <v>0</v>
      </c>
      <c r="S42" s="35">
        <f t="shared" si="1"/>
        <v>500</v>
      </c>
      <c r="T42" s="35">
        <f t="shared" si="1"/>
        <v>355</v>
      </c>
      <c r="U42" s="35">
        <f t="shared" si="1"/>
        <v>550</v>
      </c>
      <c r="V42" s="35">
        <f t="shared" si="1"/>
        <v>4768.5</v>
      </c>
      <c r="W42" s="349">
        <f t="shared" si="1"/>
        <v>135987.6</v>
      </c>
      <c r="X42" s="35">
        <f t="shared" si="1"/>
        <v>300</v>
      </c>
      <c r="Y42" s="35">
        <f t="shared" si="1"/>
        <v>9459.4</v>
      </c>
      <c r="Z42" s="35">
        <f t="shared" si="1"/>
        <v>0</v>
      </c>
      <c r="AA42" s="35">
        <f t="shared" si="1"/>
        <v>0</v>
      </c>
      <c r="AB42" s="35">
        <f t="shared" si="1"/>
        <v>0</v>
      </c>
      <c r="AC42" s="35">
        <f t="shared" si="1"/>
        <v>38773.179999999993</v>
      </c>
      <c r="AD42" s="35">
        <f t="shared" si="1"/>
        <v>64846.308999999994</v>
      </c>
      <c r="AE42" s="35">
        <f t="shared" si="1"/>
        <v>70.099999999999994</v>
      </c>
      <c r="AF42" s="35">
        <f t="shared" si="1"/>
        <v>910</v>
      </c>
      <c r="AG42" s="35">
        <f t="shared" si="1"/>
        <v>11695.6</v>
      </c>
      <c r="AH42" s="35">
        <f t="shared" si="1"/>
        <v>0</v>
      </c>
      <c r="AI42" s="349">
        <f t="shared" si="1"/>
        <v>3570</v>
      </c>
      <c r="AJ42" s="35">
        <f t="shared" si="1"/>
        <v>0</v>
      </c>
      <c r="AK42" s="35">
        <f t="shared" si="1"/>
        <v>1000</v>
      </c>
      <c r="AL42" s="35">
        <f t="shared" si="1"/>
        <v>0</v>
      </c>
      <c r="AM42" s="349">
        <f t="shared" si="1"/>
        <v>4500.3</v>
      </c>
      <c r="AN42" s="35">
        <f t="shared" si="1"/>
        <v>1954.5</v>
      </c>
      <c r="AO42" s="35">
        <f t="shared" si="1"/>
        <v>142.03399999999999</v>
      </c>
      <c r="AP42" s="35">
        <f t="shared" si="1"/>
        <v>189.38399999999999</v>
      </c>
      <c r="AQ42" s="35">
        <f t="shared" si="1"/>
        <v>18.2</v>
      </c>
      <c r="AR42" s="35">
        <f t="shared" si="1"/>
        <v>1043.5</v>
      </c>
      <c r="AS42" s="35">
        <f t="shared" si="1"/>
        <v>0</v>
      </c>
      <c r="AT42" s="35">
        <f t="shared" si="1"/>
        <v>0</v>
      </c>
      <c r="AU42" s="35">
        <f t="shared" si="1"/>
        <v>4437.21</v>
      </c>
      <c r="AV42" s="35">
        <f t="shared" si="1"/>
        <v>10249.83</v>
      </c>
      <c r="AW42" s="35">
        <f t="shared" si="1"/>
        <v>9760.8000000000011</v>
      </c>
      <c r="AX42" s="35">
        <f t="shared" si="1"/>
        <v>1094</v>
      </c>
      <c r="AY42" s="35">
        <f t="shared" si="1"/>
        <v>0</v>
      </c>
      <c r="AZ42" s="35">
        <f t="shared" si="1"/>
        <v>42912</v>
      </c>
      <c r="BA42" s="35">
        <f t="shared" si="1"/>
        <v>641.79999999999995</v>
      </c>
      <c r="BB42" s="35">
        <f t="shared" si="1"/>
        <v>15388.9</v>
      </c>
      <c r="BC42" s="35">
        <f t="shared" si="1"/>
        <v>598037.80000000005</v>
      </c>
      <c r="BD42" s="35">
        <f t="shared" si="1"/>
        <v>60888</v>
      </c>
      <c r="BE42" s="35">
        <f t="shared" si="1"/>
        <v>0</v>
      </c>
      <c r="BF42" s="35">
        <f t="shared" si="1"/>
        <v>0</v>
      </c>
      <c r="BG42" s="35">
        <f t="shared" si="1"/>
        <v>0</v>
      </c>
      <c r="BH42" s="35">
        <f t="shared" si="1"/>
        <v>0</v>
      </c>
      <c r="BI42" s="349">
        <f t="shared" si="1"/>
        <v>40199.699999999997</v>
      </c>
      <c r="BJ42" s="349">
        <f t="shared" si="1"/>
        <v>39514</v>
      </c>
      <c r="BK42" s="349">
        <f t="shared" si="1"/>
        <v>128</v>
      </c>
      <c r="BL42" s="349">
        <f t="shared" si="1"/>
        <v>12000</v>
      </c>
      <c r="BM42" s="35">
        <f t="shared" si="1"/>
        <v>0</v>
      </c>
      <c r="BN42" s="35">
        <f t="shared" si="1"/>
        <v>0</v>
      </c>
      <c r="BO42" s="349">
        <f t="shared" si="1"/>
        <v>83608.7</v>
      </c>
      <c r="BP42" s="35">
        <f t="shared" si="1"/>
        <v>0</v>
      </c>
      <c r="BQ42" s="349">
        <f t="shared" ref="BQ42:BZ42" si="2">SUM(BQ3:BQ41)</f>
        <v>7210.6</v>
      </c>
      <c r="BR42" s="35">
        <f t="shared" si="2"/>
        <v>0</v>
      </c>
      <c r="BS42" s="35">
        <f t="shared" si="2"/>
        <v>0</v>
      </c>
      <c r="BT42" s="35">
        <f t="shared" si="2"/>
        <v>0</v>
      </c>
      <c r="BU42" s="35">
        <f t="shared" si="2"/>
        <v>0</v>
      </c>
      <c r="BV42" s="35">
        <f t="shared" si="2"/>
        <v>0</v>
      </c>
      <c r="BW42" s="349">
        <f t="shared" si="2"/>
        <v>43.8</v>
      </c>
      <c r="BX42" s="35">
        <f t="shared" si="2"/>
        <v>61511.5</v>
      </c>
      <c r="BY42" s="35">
        <f t="shared" si="2"/>
        <v>0</v>
      </c>
      <c r="BZ42" s="35">
        <f t="shared" si="2"/>
        <v>1542790.8469999998</v>
      </c>
      <c r="CA42" s="133">
        <f>SUM(B42:BY42)</f>
        <v>1542790.8469999998</v>
      </c>
    </row>
    <row r="43" spans="1:79">
      <c r="X43" s="132"/>
      <c r="Y43" s="132">
        <f>SUM(B42:Y42)</f>
        <v>426451.1</v>
      </c>
      <c r="AA43" s="133"/>
      <c r="AB43" s="133">
        <f>Z42+AA42+AB42</f>
        <v>0</v>
      </c>
      <c r="AC43" s="133"/>
      <c r="AD43" s="133"/>
      <c r="AE43" s="133"/>
      <c r="AF43" s="133"/>
      <c r="AG43" s="133"/>
      <c r="AH43" s="133"/>
      <c r="AI43" s="133"/>
      <c r="AJ43" s="133"/>
      <c r="AK43" s="134">
        <f>AC42+AD42+AE42+AF42+AG42+AH42+AJ42+AK42</f>
        <v>117295.189</v>
      </c>
      <c r="AL43" s="133">
        <f>AL42</f>
        <v>0</v>
      </c>
      <c r="AM43" s="134"/>
      <c r="AN43" s="134"/>
      <c r="AO43" s="134"/>
      <c r="AP43" s="133">
        <f>AM42+AN42+AO42+AP42</f>
        <v>6786.2179999999998</v>
      </c>
      <c r="AS43" s="133">
        <f>AQ42+AR42+AS42</f>
        <v>1061.7</v>
      </c>
      <c r="AT43" s="133"/>
      <c r="BC43" s="133">
        <f>AU42+AV42+AW42+AX42+AZ42+BA42+BB42+BC42</f>
        <v>682522.34000000008</v>
      </c>
      <c r="BG43" s="133">
        <f>BD42+BF42+BG42</f>
        <v>60888</v>
      </c>
      <c r="BY43" s="134">
        <f>SUM(BH42:BY42)</f>
        <v>244216.3</v>
      </c>
      <c r="CA43" s="133">
        <f>SUM(B43:BY43)</f>
        <v>1539220.8470000001</v>
      </c>
    </row>
  </sheetData>
  <pageMargins left="0.31496062992125984" right="0" top="1.1417322834645669" bottom="0.19685039370078741"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2:CJ43"/>
  <sheetViews>
    <sheetView zoomScaleNormal="100" zoomScaleSheetLayoutView="100" workbookViewId="0">
      <pane xSplit="1" ySplit="2" topLeftCell="BH28" activePane="bottomRight" state="frozen"/>
      <selection pane="topRight" activeCell="B1" sqref="B1"/>
      <selection pane="bottomLeft" activeCell="A3" sqref="A3"/>
      <selection pane="bottomRight" activeCell="CJ42" sqref="CJ42"/>
    </sheetView>
  </sheetViews>
  <sheetFormatPr defaultRowHeight="12.75"/>
  <cols>
    <col min="1" max="1" width="6" style="130" customWidth="1"/>
    <col min="2" max="2" width="7.42578125" style="131" customWidth="1"/>
    <col min="3" max="3" width="8.5703125" style="131" customWidth="1"/>
    <col min="4" max="4" width="7.7109375" style="131" customWidth="1"/>
    <col min="5" max="5" width="8.5703125" style="131" customWidth="1"/>
    <col min="6" max="6" width="7.42578125" style="131" customWidth="1"/>
    <col min="7" max="7" width="6.140625" style="131" customWidth="1"/>
    <col min="8" max="8" width="9.140625" style="131" customWidth="1"/>
    <col min="9" max="9" width="8.140625" style="131" customWidth="1"/>
    <col min="10" max="10" width="8.140625" style="401" customWidth="1"/>
    <col min="11" max="11" width="8.42578125" style="131" customWidth="1"/>
    <col min="12" max="12" width="8.42578125" style="401" customWidth="1"/>
    <col min="13" max="13" width="8.28515625" style="131" customWidth="1"/>
    <col min="14" max="14" width="8.28515625" style="401" customWidth="1"/>
    <col min="15" max="15" width="7.42578125" style="131" customWidth="1"/>
    <col min="16" max="16" width="7.42578125" style="401" customWidth="1"/>
    <col min="17" max="17" width="6.28515625" style="131" customWidth="1"/>
    <col min="18" max="18" width="7.28515625" style="131" customWidth="1"/>
    <col min="19" max="20" width="7.42578125" style="131" customWidth="1"/>
    <col min="21" max="21" width="8.42578125" style="131" customWidth="1"/>
    <col min="22" max="22" width="8.42578125" style="401" customWidth="1"/>
    <col min="23" max="23" width="8.42578125" style="131" customWidth="1"/>
    <col min="24" max="24" width="7.85546875" style="131" customWidth="1"/>
    <col min="25" max="25" width="6" style="131" customWidth="1"/>
    <col min="26" max="26" width="7.42578125" style="131" customWidth="1"/>
    <col min="27" max="27" width="7.28515625" style="131" customWidth="1"/>
    <col min="28" max="28" width="8.42578125" style="131" customWidth="1"/>
    <col min="29" max="29" width="8.42578125" style="401" customWidth="1"/>
    <col min="30" max="30" width="6" style="131" customWidth="1"/>
    <col min="31" max="31" width="8.28515625" style="131" customWidth="1"/>
    <col min="32" max="32" width="8.28515625" style="36" customWidth="1"/>
    <col min="33" max="33" width="8.42578125" style="36" customWidth="1"/>
    <col min="34" max="34" width="7.85546875" style="36" customWidth="1"/>
    <col min="35" max="36" width="8.140625" style="36" customWidth="1"/>
    <col min="37" max="37" width="6.28515625" style="36" customWidth="1"/>
    <col min="38" max="38" width="6" style="36" customWidth="1"/>
    <col min="39" max="39" width="8.28515625" style="36" customWidth="1"/>
    <col min="40" max="40" width="7.28515625" style="36" customWidth="1"/>
    <col min="41" max="41" width="7.28515625" style="402" customWidth="1"/>
    <col min="42" max="42" width="7.28515625" style="36" customWidth="1"/>
    <col min="43" max="43" width="7.7109375" style="36" customWidth="1"/>
    <col min="44" max="44" width="6" style="36" customWidth="1"/>
    <col min="45" max="45" width="7.7109375" style="36" customWidth="1"/>
    <col min="46" max="46" width="7.7109375" style="402" customWidth="1"/>
    <col min="47" max="47" width="7.85546875" style="36" customWidth="1"/>
    <col min="48" max="48" width="6" style="36" customWidth="1"/>
    <col min="49" max="49" width="7" style="36" bestFit="1" customWidth="1"/>
    <col min="50" max="50" width="5.85546875" style="402" customWidth="1"/>
    <col min="51" max="51" width="7.28515625" style="402" customWidth="1"/>
    <col min="52" max="52" width="5.7109375" style="36" customWidth="1"/>
    <col min="53" max="53" width="4.42578125" style="36" customWidth="1"/>
    <col min="54" max="54" width="7.42578125" style="402" customWidth="1"/>
    <col min="55" max="55" width="8.7109375" style="402" customWidth="1"/>
    <col min="56" max="56" width="7.42578125" style="402" customWidth="1"/>
    <col min="57" max="57" width="7" style="402" customWidth="1"/>
    <col min="58" max="58" width="6" style="402" customWidth="1"/>
    <col min="59" max="59" width="8.140625" style="402" customWidth="1"/>
    <col min="60" max="60" width="6.42578125" style="402" customWidth="1"/>
    <col min="61" max="61" width="8.5703125" style="402" customWidth="1"/>
    <col min="62" max="62" width="9.5703125" style="402" customWidth="1"/>
    <col min="63" max="63" width="9.5703125" style="36" customWidth="1"/>
    <col min="64" max="64" width="8.5703125" style="402" customWidth="1"/>
    <col min="65" max="65" width="7.140625" style="402" customWidth="1"/>
    <col min="66" max="66" width="7.42578125" style="36" customWidth="1"/>
    <col min="67" max="67" width="7.85546875" style="402" customWidth="1"/>
    <col min="68" max="68" width="6.28515625" style="36" customWidth="1"/>
    <col min="69" max="69" width="9.140625" style="402" customWidth="1"/>
    <col min="70" max="70" width="8.140625" style="402" customWidth="1"/>
    <col min="71" max="71" width="6.140625" style="402" customWidth="1"/>
    <col min="72" max="72" width="9.140625" style="402" customWidth="1"/>
    <col min="73" max="73" width="4" style="36" customWidth="1"/>
    <col min="74" max="74" width="4.42578125" style="36" customWidth="1"/>
    <col min="75" max="75" width="8.42578125" style="402" customWidth="1"/>
    <col min="76" max="76" width="6.42578125" style="36" customWidth="1"/>
    <col min="77" max="77" width="7.42578125" style="402" customWidth="1"/>
    <col min="78" max="78" width="6.140625" style="36" hidden="1" customWidth="1"/>
    <col min="79" max="79" width="8.42578125" style="36" hidden="1" customWidth="1"/>
    <col min="80" max="81" width="7.42578125" style="36" hidden="1" customWidth="1"/>
    <col min="82" max="82" width="4.42578125" style="36" hidden="1" customWidth="1"/>
    <col min="83" max="83" width="7.85546875" style="402" customWidth="1"/>
    <col min="84" max="84" width="8.42578125" style="36" customWidth="1"/>
    <col min="85" max="85" width="7.42578125" style="36" customWidth="1"/>
    <col min="86" max="86" width="10.5703125" style="36" customWidth="1"/>
    <col min="87" max="87" width="10.140625" style="406" bestFit="1" customWidth="1"/>
    <col min="88" max="88" width="11.7109375" style="36" bestFit="1" customWidth="1"/>
    <col min="89" max="16384" width="9.140625" style="36"/>
  </cols>
  <sheetData>
    <row r="2" spans="1:87" s="127" customFormat="1">
      <c r="A2" s="126"/>
      <c r="B2" s="396" t="s">
        <v>34</v>
      </c>
      <c r="C2" s="396" t="s">
        <v>393</v>
      </c>
      <c r="D2" s="396" t="s">
        <v>39</v>
      </c>
      <c r="E2" s="396" t="s">
        <v>602</v>
      </c>
      <c r="F2" s="396" t="s">
        <v>388</v>
      </c>
      <c r="G2" s="396" t="s">
        <v>42</v>
      </c>
      <c r="H2" s="396" t="s">
        <v>746</v>
      </c>
      <c r="I2" s="396" t="s">
        <v>386</v>
      </c>
      <c r="J2" s="399" t="s">
        <v>1217</v>
      </c>
      <c r="K2" s="396" t="s">
        <v>568</v>
      </c>
      <c r="L2" s="399" t="s">
        <v>1218</v>
      </c>
      <c r="M2" s="396" t="s">
        <v>612</v>
      </c>
      <c r="N2" s="399" t="s">
        <v>1209</v>
      </c>
      <c r="O2" s="396" t="s">
        <v>574</v>
      </c>
      <c r="P2" s="399" t="s">
        <v>1206</v>
      </c>
      <c r="Q2" s="396" t="s">
        <v>44</v>
      </c>
      <c r="R2" s="396" t="s">
        <v>575</v>
      </c>
      <c r="S2" s="396" t="s">
        <v>854</v>
      </c>
      <c r="T2" s="396" t="s">
        <v>739</v>
      </c>
      <c r="U2" s="396" t="s">
        <v>567</v>
      </c>
      <c r="V2" s="399" t="s">
        <v>1210</v>
      </c>
      <c r="W2" s="396" t="s">
        <v>1040</v>
      </c>
      <c r="X2" s="396" t="s">
        <v>744</v>
      </c>
      <c r="Y2" s="396" t="s">
        <v>745</v>
      </c>
      <c r="Z2" s="396" t="s">
        <v>623</v>
      </c>
      <c r="AA2" s="396" t="s">
        <v>627</v>
      </c>
      <c r="AB2" s="396" t="s">
        <v>749</v>
      </c>
      <c r="AC2" s="399" t="s">
        <v>1211</v>
      </c>
      <c r="AD2" s="396" t="s">
        <v>45</v>
      </c>
      <c r="AE2" s="396" t="s">
        <v>747</v>
      </c>
      <c r="AF2" s="396" t="s">
        <v>48</v>
      </c>
      <c r="AG2" s="396" t="s">
        <v>748</v>
      </c>
      <c r="AH2" s="396" t="s">
        <v>736</v>
      </c>
      <c r="AI2" s="396" t="s">
        <v>564</v>
      </c>
      <c r="AJ2" s="396" t="s">
        <v>569</v>
      </c>
      <c r="AK2" s="396" t="s">
        <v>773</v>
      </c>
      <c r="AL2" s="396" t="s">
        <v>565</v>
      </c>
      <c r="AM2" s="396" t="s">
        <v>740</v>
      </c>
      <c r="AN2" s="396" t="s">
        <v>737</v>
      </c>
      <c r="AO2" s="399" t="s">
        <v>1216</v>
      </c>
      <c r="AP2" s="396" t="s">
        <v>735</v>
      </c>
      <c r="AQ2" s="396" t="s">
        <v>738</v>
      </c>
      <c r="AR2" s="396" t="s">
        <v>566</v>
      </c>
      <c r="AS2" s="396" t="s">
        <v>52</v>
      </c>
      <c r="AT2" s="399" t="s">
        <v>1221</v>
      </c>
      <c r="AU2" s="396" t="s">
        <v>741</v>
      </c>
      <c r="AV2" s="396" t="s">
        <v>742</v>
      </c>
      <c r="AW2" s="396" t="s">
        <v>743</v>
      </c>
      <c r="AX2" s="399" t="s">
        <v>1224</v>
      </c>
      <c r="AY2" s="399" t="s">
        <v>1233</v>
      </c>
      <c r="AZ2" s="396" t="s">
        <v>754</v>
      </c>
      <c r="BA2" s="396" t="s">
        <v>857</v>
      </c>
      <c r="BB2" s="399" t="s">
        <v>1222</v>
      </c>
      <c r="BC2" s="399" t="s">
        <v>1223</v>
      </c>
      <c r="BD2" s="399" t="s">
        <v>1225</v>
      </c>
      <c r="BE2" s="399" t="s">
        <v>1227</v>
      </c>
      <c r="BF2" s="399" t="s">
        <v>1231</v>
      </c>
      <c r="BG2" s="399" t="s">
        <v>1230</v>
      </c>
      <c r="BH2" s="399" t="s">
        <v>1226</v>
      </c>
      <c r="BI2" s="399" t="s">
        <v>1228</v>
      </c>
      <c r="BJ2" s="399" t="s">
        <v>1229</v>
      </c>
      <c r="BK2" s="398" t="s">
        <v>772</v>
      </c>
      <c r="BL2" s="399" t="s">
        <v>1235</v>
      </c>
      <c r="BM2" s="399" t="s">
        <v>1234</v>
      </c>
      <c r="BN2" s="396" t="s">
        <v>761</v>
      </c>
      <c r="BO2" s="399" t="s">
        <v>1232</v>
      </c>
      <c r="BP2" s="396" t="s">
        <v>760</v>
      </c>
      <c r="BQ2" s="399" t="s">
        <v>1207</v>
      </c>
      <c r="BR2" s="399" t="s">
        <v>1213</v>
      </c>
      <c r="BS2" s="399" t="s">
        <v>1212</v>
      </c>
      <c r="BT2" s="399" t="s">
        <v>1219</v>
      </c>
      <c r="BU2" s="396" t="s">
        <v>680</v>
      </c>
      <c r="BV2" s="396" t="s">
        <v>762</v>
      </c>
      <c r="BW2" s="399" t="s">
        <v>1215</v>
      </c>
      <c r="BX2" s="396" t="s">
        <v>911</v>
      </c>
      <c r="BY2" s="399" t="s">
        <v>1208</v>
      </c>
      <c r="BZ2" s="396" t="s">
        <v>687</v>
      </c>
      <c r="CA2" s="396" t="s">
        <v>768</v>
      </c>
      <c r="CB2" s="396" t="s">
        <v>856</v>
      </c>
      <c r="CC2" s="396" t="s">
        <v>949</v>
      </c>
      <c r="CD2" s="396" t="s">
        <v>763</v>
      </c>
      <c r="CE2" s="399" t="s">
        <v>1214</v>
      </c>
      <c r="CF2" s="396" t="s">
        <v>702</v>
      </c>
      <c r="CG2" s="396" t="s">
        <v>770</v>
      </c>
      <c r="CH2" s="397" t="s">
        <v>406</v>
      </c>
      <c r="CI2" s="404" t="s">
        <v>1220</v>
      </c>
    </row>
    <row r="3" spans="1:87">
      <c r="A3" s="128" t="s">
        <v>379</v>
      </c>
      <c r="B3" s="35"/>
      <c r="C3" s="35"/>
      <c r="D3" s="35"/>
      <c r="E3" s="35"/>
      <c r="F3" s="35"/>
      <c r="G3" s="35"/>
      <c r="H3" s="35"/>
      <c r="I3" s="35"/>
      <c r="J3" s="400"/>
      <c r="K3" s="35"/>
      <c r="L3" s="400"/>
      <c r="M3" s="35"/>
      <c r="N3" s="400"/>
      <c r="O3" s="35"/>
      <c r="P3" s="400"/>
      <c r="Q3" s="35"/>
      <c r="R3" s="35"/>
      <c r="S3" s="35"/>
      <c r="T3" s="35"/>
      <c r="U3" s="35"/>
      <c r="V3" s="400"/>
      <c r="W3" s="35"/>
      <c r="X3" s="35"/>
      <c r="Y3" s="35"/>
      <c r="Z3" s="35"/>
      <c r="AA3" s="35"/>
      <c r="AB3" s="35"/>
      <c r="AC3" s="400"/>
      <c r="AD3" s="35"/>
      <c r="AE3" s="35"/>
      <c r="AF3" s="35"/>
      <c r="AG3" s="35"/>
      <c r="AH3" s="35"/>
      <c r="AI3" s="35">
        <f>548.2</f>
        <v>548.20000000000005</v>
      </c>
      <c r="AJ3" s="35">
        <v>1822</v>
      </c>
      <c r="AK3" s="35"/>
      <c r="AL3" s="35"/>
      <c r="AM3" s="35"/>
      <c r="AN3" s="35"/>
      <c r="AO3" s="400"/>
      <c r="AP3" s="35"/>
      <c r="AQ3" s="35"/>
      <c r="AR3" s="35"/>
      <c r="AS3" s="35"/>
      <c r="AT3" s="400"/>
      <c r="AU3" s="35"/>
      <c r="AV3" s="35"/>
      <c r="AW3" s="35"/>
      <c r="AX3" s="400"/>
      <c r="AY3" s="400"/>
      <c r="AZ3" s="35"/>
      <c r="BA3" s="35"/>
      <c r="BB3" s="400"/>
      <c r="BC3" s="400"/>
      <c r="BD3" s="400"/>
      <c r="BE3" s="400"/>
      <c r="BF3" s="400"/>
      <c r="BG3" s="400"/>
      <c r="BH3" s="400"/>
      <c r="BI3" s="400"/>
      <c r="BJ3" s="400"/>
      <c r="BK3" s="35"/>
      <c r="BL3" s="400"/>
      <c r="BM3" s="400"/>
      <c r="BN3" s="35"/>
      <c r="BO3" s="400"/>
      <c r="BP3" s="35"/>
      <c r="BQ3" s="400"/>
      <c r="BR3" s="400"/>
      <c r="BS3" s="400"/>
      <c r="BT3" s="400"/>
      <c r="BU3" s="35"/>
      <c r="BV3" s="35"/>
      <c r="BW3" s="400"/>
      <c r="BX3" s="35"/>
      <c r="BY3" s="400"/>
      <c r="BZ3" s="35"/>
      <c r="CA3" s="35"/>
      <c r="CB3" s="35"/>
      <c r="CC3" s="35"/>
      <c r="CD3" s="35"/>
      <c r="CE3" s="400"/>
      <c r="CF3" s="35"/>
      <c r="CG3" s="35"/>
      <c r="CH3" s="222">
        <f>SUM(B3:CF3)</f>
        <v>2370.1999999999998</v>
      </c>
      <c r="CI3" s="405">
        <f>J3+L3+N3+P3+V3+AC3+AO3+AT3+AX3+AY3+BB3+BC3+BD3+BE3+BF3+BG3+BH3+BI3+BJ3+BL3+BM3+BO3+BQ3+BR3+BS3+BT3+BW3+BY3+CE3</f>
        <v>0</v>
      </c>
    </row>
    <row r="4" spans="1:87">
      <c r="A4" s="128" t="s">
        <v>380</v>
      </c>
      <c r="B4" s="35"/>
      <c r="C4" s="35"/>
      <c r="D4" s="35"/>
      <c r="E4" s="35"/>
      <c r="F4" s="35"/>
      <c r="G4" s="35"/>
      <c r="H4" s="35"/>
      <c r="I4" s="35"/>
      <c r="J4" s="400"/>
      <c r="K4" s="35"/>
      <c r="L4" s="400"/>
      <c r="M4" s="35"/>
      <c r="N4" s="400"/>
      <c r="O4" s="35"/>
      <c r="P4" s="400"/>
      <c r="Q4" s="35"/>
      <c r="R4" s="35"/>
      <c r="S4" s="35"/>
      <c r="T4" s="35"/>
      <c r="U4" s="35"/>
      <c r="V4" s="400"/>
      <c r="W4" s="35"/>
      <c r="X4" s="35"/>
      <c r="Y4" s="35"/>
      <c r="Z4" s="35"/>
      <c r="AA4" s="35"/>
      <c r="AB4" s="35"/>
      <c r="AC4" s="400"/>
      <c r="AD4" s="35"/>
      <c r="AE4" s="35"/>
      <c r="AF4" s="35"/>
      <c r="AG4" s="35"/>
      <c r="AH4" s="35"/>
      <c r="AI4" s="35">
        <f>628.5+432.655</f>
        <v>1061.155</v>
      </c>
      <c r="AJ4" s="35">
        <v>1393.2449999999999</v>
      </c>
      <c r="AK4" s="35"/>
      <c r="AL4" s="35"/>
      <c r="AM4" s="35"/>
      <c r="AN4" s="35"/>
      <c r="AO4" s="400"/>
      <c r="AP4" s="35"/>
      <c r="AQ4" s="35"/>
      <c r="AR4" s="35"/>
      <c r="AS4" s="35"/>
      <c r="AT4" s="400"/>
      <c r="AU4" s="35"/>
      <c r="AV4" s="35"/>
      <c r="AW4" s="35"/>
      <c r="AX4" s="400"/>
      <c r="AY4" s="400"/>
      <c r="AZ4" s="35"/>
      <c r="BA4" s="35"/>
      <c r="BB4" s="400"/>
      <c r="BC4" s="400"/>
      <c r="BD4" s="400"/>
      <c r="BE4" s="400"/>
      <c r="BF4" s="400"/>
      <c r="BG4" s="400"/>
      <c r="BH4" s="400"/>
      <c r="BI4" s="400"/>
      <c r="BJ4" s="400"/>
      <c r="BK4" s="35"/>
      <c r="BL4" s="400"/>
      <c r="BM4" s="400"/>
      <c r="BN4" s="35"/>
      <c r="BO4" s="400"/>
      <c r="BP4" s="35"/>
      <c r="BQ4" s="400"/>
      <c r="BR4" s="400"/>
      <c r="BS4" s="400"/>
      <c r="BT4" s="400"/>
      <c r="BU4" s="35"/>
      <c r="BV4" s="35"/>
      <c r="BW4" s="400"/>
      <c r="BX4" s="35"/>
      <c r="BY4" s="400"/>
      <c r="BZ4" s="35"/>
      <c r="CA4" s="35"/>
      <c r="CB4" s="35"/>
      <c r="CC4" s="35"/>
      <c r="CD4" s="35"/>
      <c r="CE4" s="400"/>
      <c r="CF4" s="35"/>
      <c r="CG4" s="35"/>
      <c r="CH4" s="222">
        <f t="shared" ref="CH4:CH41" si="0">SUM(B4:CF4)</f>
        <v>2454.3999999999996</v>
      </c>
      <c r="CI4" s="405">
        <f t="shared" ref="CI4:CI41" si="1">J4+L4+N4+P4+V4+AC4+AO4+AT4+AX4+AY4+BB4+BC4+BD4+BE4+BF4+BG4+BH4+BI4+BJ4+BL4+BM4+BO4+BQ4+BR4+BS4+BT4+BW4+BY4+CE4</f>
        <v>0</v>
      </c>
    </row>
    <row r="5" spans="1:87">
      <c r="A5" s="128" t="s">
        <v>381</v>
      </c>
      <c r="B5" s="35"/>
      <c r="C5" s="35"/>
      <c r="D5" s="35"/>
      <c r="E5" s="35"/>
      <c r="F5" s="35"/>
      <c r="G5" s="35"/>
      <c r="H5" s="35"/>
      <c r="I5" s="35"/>
      <c r="J5" s="400"/>
      <c r="K5" s="35"/>
      <c r="L5" s="400"/>
      <c r="M5" s="35"/>
      <c r="N5" s="400"/>
      <c r="O5" s="35"/>
      <c r="P5" s="400"/>
      <c r="Q5" s="35"/>
      <c r="R5" s="35"/>
      <c r="S5" s="35"/>
      <c r="T5" s="35"/>
      <c r="U5" s="35"/>
      <c r="V5" s="400"/>
      <c r="W5" s="35"/>
      <c r="X5" s="35"/>
      <c r="Y5" s="35"/>
      <c r="Z5" s="35"/>
      <c r="AA5" s="35"/>
      <c r="AB5" s="35"/>
      <c r="AC5" s="400"/>
      <c r="AD5" s="35"/>
      <c r="AE5" s="35"/>
      <c r="AF5" s="35"/>
      <c r="AG5" s="35"/>
      <c r="AH5" s="35"/>
      <c r="AI5" s="35">
        <f>151.3+22489.439</f>
        <v>22640.738999999998</v>
      </c>
      <c r="AJ5" s="35">
        <v>28048.35</v>
      </c>
      <c r="AK5" s="35"/>
      <c r="AL5" s="35">
        <v>910</v>
      </c>
      <c r="AM5" s="35"/>
      <c r="AN5" s="35"/>
      <c r="AO5" s="400"/>
      <c r="AP5" s="35"/>
      <c r="AQ5" s="35"/>
      <c r="AR5" s="35"/>
      <c r="AS5" s="35"/>
      <c r="AT5" s="400"/>
      <c r="AU5" s="35"/>
      <c r="AV5" s="35"/>
      <c r="AW5" s="35"/>
      <c r="AX5" s="400"/>
      <c r="AY5" s="400"/>
      <c r="AZ5" s="35"/>
      <c r="BA5" s="35"/>
      <c r="BB5" s="400">
        <v>3746.6480000000001</v>
      </c>
      <c r="BC5" s="400">
        <v>8694.4519999999993</v>
      </c>
      <c r="BD5" s="400"/>
      <c r="BE5" s="400"/>
      <c r="BF5" s="400"/>
      <c r="BG5" s="400"/>
      <c r="BH5" s="400"/>
      <c r="BI5" s="400"/>
      <c r="BJ5" s="400"/>
      <c r="BK5" s="35"/>
      <c r="BL5" s="400"/>
      <c r="BM5" s="400"/>
      <c r="BN5" s="35"/>
      <c r="BO5" s="400"/>
      <c r="BP5" s="35"/>
      <c r="BQ5" s="400"/>
      <c r="BR5" s="400"/>
      <c r="BS5" s="400"/>
      <c r="BT5" s="400"/>
      <c r="BU5" s="35"/>
      <c r="BV5" s="35"/>
      <c r="BW5" s="400"/>
      <c r="BX5" s="35"/>
      <c r="BY5" s="400"/>
      <c r="BZ5" s="35"/>
      <c r="CA5" s="35"/>
      <c r="CB5" s="35"/>
      <c r="CC5" s="35"/>
      <c r="CD5" s="35"/>
      <c r="CE5" s="400"/>
      <c r="CF5" s="35"/>
      <c r="CG5" s="35"/>
      <c r="CH5" s="222">
        <f t="shared" si="0"/>
        <v>64040.188999999991</v>
      </c>
      <c r="CI5" s="405">
        <f t="shared" si="1"/>
        <v>12441.099999999999</v>
      </c>
    </row>
    <row r="6" spans="1:87">
      <c r="A6" s="128" t="s">
        <v>445</v>
      </c>
      <c r="B6" s="35"/>
      <c r="C6" s="35"/>
      <c r="D6" s="35"/>
      <c r="E6" s="35"/>
      <c r="F6" s="35"/>
      <c r="G6" s="35"/>
      <c r="H6" s="35"/>
      <c r="I6" s="35"/>
      <c r="J6" s="400"/>
      <c r="K6" s="35"/>
      <c r="L6" s="400"/>
      <c r="M6" s="35"/>
      <c r="N6" s="400"/>
      <c r="O6" s="35"/>
      <c r="P6" s="400"/>
      <c r="Q6" s="35"/>
      <c r="R6" s="35"/>
      <c r="S6" s="35"/>
      <c r="T6" s="35"/>
      <c r="U6" s="35"/>
      <c r="V6" s="400"/>
      <c r="W6" s="35"/>
      <c r="X6" s="35"/>
      <c r="Y6" s="35"/>
      <c r="Z6" s="35"/>
      <c r="AA6" s="35"/>
      <c r="AB6" s="35"/>
      <c r="AC6" s="400"/>
      <c r="AD6" s="35"/>
      <c r="AE6" s="35"/>
      <c r="AF6" s="35"/>
      <c r="AG6" s="35"/>
      <c r="AH6" s="35"/>
      <c r="AI6" s="35"/>
      <c r="AJ6" s="35"/>
      <c r="AK6" s="35"/>
      <c r="AL6" s="35"/>
      <c r="AM6" s="35"/>
      <c r="AN6" s="35"/>
      <c r="AO6" s="400"/>
      <c r="AP6" s="35"/>
      <c r="AQ6" s="35"/>
      <c r="AR6" s="35"/>
      <c r="AS6" s="35"/>
      <c r="AT6" s="400"/>
      <c r="AU6" s="35"/>
      <c r="AV6" s="35"/>
      <c r="AW6" s="35"/>
      <c r="AX6" s="400">
        <v>18.2</v>
      </c>
      <c r="AY6" s="400"/>
      <c r="AZ6" s="35"/>
      <c r="BA6" s="35"/>
      <c r="BB6" s="400"/>
      <c r="BC6" s="400"/>
      <c r="BD6" s="400"/>
      <c r="BE6" s="400"/>
      <c r="BF6" s="400"/>
      <c r="BG6" s="400"/>
      <c r="BH6" s="400"/>
      <c r="BI6" s="400"/>
      <c r="BJ6" s="400"/>
      <c r="BK6" s="35"/>
      <c r="BL6" s="400"/>
      <c r="BM6" s="400"/>
      <c r="BN6" s="35"/>
      <c r="BO6" s="400"/>
      <c r="BP6" s="35"/>
      <c r="BQ6" s="400"/>
      <c r="BR6" s="400"/>
      <c r="BS6" s="400"/>
      <c r="BT6" s="400"/>
      <c r="BU6" s="35"/>
      <c r="BV6" s="35"/>
      <c r="BW6" s="400"/>
      <c r="BX6" s="35"/>
      <c r="BY6" s="400"/>
      <c r="BZ6" s="35"/>
      <c r="CA6" s="35"/>
      <c r="CB6" s="35"/>
      <c r="CC6" s="35"/>
      <c r="CD6" s="35"/>
      <c r="CE6" s="400"/>
      <c r="CF6" s="35"/>
      <c r="CG6" s="35"/>
      <c r="CH6" s="222">
        <f t="shared" si="0"/>
        <v>18.2</v>
      </c>
      <c r="CI6" s="405">
        <f t="shared" si="1"/>
        <v>18.2</v>
      </c>
    </row>
    <row r="7" spans="1:87">
      <c r="A7" s="128" t="s">
        <v>382</v>
      </c>
      <c r="B7" s="35"/>
      <c r="C7" s="35"/>
      <c r="D7" s="35"/>
      <c r="E7" s="35"/>
      <c r="F7" s="35"/>
      <c r="G7" s="35"/>
      <c r="H7" s="35"/>
      <c r="I7" s="35"/>
      <c r="J7" s="400"/>
      <c r="K7" s="35"/>
      <c r="L7" s="400"/>
      <c r="M7" s="35"/>
      <c r="N7" s="400"/>
      <c r="O7" s="35"/>
      <c r="P7" s="400"/>
      <c r="Q7" s="35"/>
      <c r="R7" s="35"/>
      <c r="S7" s="35"/>
      <c r="T7" s="35"/>
      <c r="U7" s="35"/>
      <c r="V7" s="400"/>
      <c r="W7" s="35"/>
      <c r="X7" s="35"/>
      <c r="Y7" s="35"/>
      <c r="Z7" s="35"/>
      <c r="AA7" s="35"/>
      <c r="AB7" s="35"/>
      <c r="AC7" s="400"/>
      <c r="AD7" s="35"/>
      <c r="AE7" s="35"/>
      <c r="AF7" s="35"/>
      <c r="AG7" s="35"/>
      <c r="AH7" s="35"/>
      <c r="AI7" s="35">
        <f>5594.195+60+245.891</f>
        <v>5900.0859999999993</v>
      </c>
      <c r="AJ7" s="35">
        <f>13964.005+814.209</f>
        <v>14778.214</v>
      </c>
      <c r="AK7" s="35"/>
      <c r="AL7" s="35"/>
      <c r="AM7" s="35"/>
      <c r="AN7" s="35"/>
      <c r="AO7" s="400"/>
      <c r="AP7" s="35"/>
      <c r="AQ7" s="35"/>
      <c r="AR7" s="35"/>
      <c r="AS7" s="35"/>
      <c r="AT7" s="400"/>
      <c r="AU7" s="35"/>
      <c r="AV7" s="35"/>
      <c r="AW7" s="35"/>
      <c r="AX7" s="400"/>
      <c r="AY7" s="400"/>
      <c r="AZ7" s="35"/>
      <c r="BA7" s="35"/>
      <c r="BB7" s="400"/>
      <c r="BC7" s="400"/>
      <c r="BD7" s="400"/>
      <c r="BE7" s="400"/>
      <c r="BF7" s="400"/>
      <c r="BG7" s="400"/>
      <c r="BH7" s="400"/>
      <c r="BI7" s="400"/>
      <c r="BJ7" s="400"/>
      <c r="BK7" s="35"/>
      <c r="BL7" s="400"/>
      <c r="BM7" s="400"/>
      <c r="BN7" s="35"/>
      <c r="BO7" s="400"/>
      <c r="BP7" s="35"/>
      <c r="BQ7" s="400"/>
      <c r="BR7" s="400"/>
      <c r="BS7" s="400"/>
      <c r="BT7" s="400"/>
      <c r="BU7" s="35"/>
      <c r="BV7" s="35"/>
      <c r="BW7" s="400"/>
      <c r="BX7" s="35"/>
      <c r="BY7" s="400"/>
      <c r="BZ7" s="35"/>
      <c r="CA7" s="35"/>
      <c r="CB7" s="35"/>
      <c r="CC7" s="35"/>
      <c r="CD7" s="35"/>
      <c r="CE7" s="400"/>
      <c r="CF7" s="35"/>
      <c r="CG7" s="35"/>
      <c r="CH7" s="222">
        <f t="shared" si="0"/>
        <v>20678.3</v>
      </c>
      <c r="CI7" s="405">
        <f t="shared" si="1"/>
        <v>0</v>
      </c>
    </row>
    <row r="8" spans="1:87">
      <c r="A8" s="128" t="s">
        <v>453</v>
      </c>
      <c r="B8" s="35"/>
      <c r="C8" s="35"/>
      <c r="D8" s="35"/>
      <c r="E8" s="35"/>
      <c r="F8" s="35"/>
      <c r="G8" s="35"/>
      <c r="H8" s="35"/>
      <c r="I8" s="35"/>
      <c r="J8" s="400"/>
      <c r="K8" s="35"/>
      <c r="L8" s="400"/>
      <c r="M8" s="35"/>
      <c r="N8" s="400"/>
      <c r="O8" s="35"/>
      <c r="P8" s="400"/>
      <c r="Q8" s="35"/>
      <c r="R8" s="35"/>
      <c r="S8" s="35"/>
      <c r="T8" s="35"/>
      <c r="U8" s="35"/>
      <c r="V8" s="400"/>
      <c r="W8" s="35"/>
      <c r="X8" s="35"/>
      <c r="Y8" s="35"/>
      <c r="Z8" s="35"/>
      <c r="AA8" s="35"/>
      <c r="AB8" s="35"/>
      <c r="AC8" s="400"/>
      <c r="AD8" s="35"/>
      <c r="AE8" s="35"/>
      <c r="AF8" s="35"/>
      <c r="AG8" s="35"/>
      <c r="AH8" s="35"/>
      <c r="AI8" s="35"/>
      <c r="AJ8" s="35"/>
      <c r="AK8" s="35"/>
      <c r="AL8" s="35"/>
      <c r="AM8" s="35"/>
      <c r="AN8" s="35"/>
      <c r="AO8" s="400"/>
      <c r="AP8" s="35"/>
      <c r="AQ8" s="35"/>
      <c r="AR8" s="35"/>
      <c r="AS8" s="35"/>
      <c r="AT8" s="400"/>
      <c r="AU8" s="35"/>
      <c r="AV8" s="35"/>
      <c r="AW8" s="35"/>
      <c r="AX8" s="400"/>
      <c r="AY8" s="400"/>
      <c r="AZ8" s="35"/>
      <c r="BA8" s="35"/>
      <c r="BB8" s="400"/>
      <c r="BC8" s="400"/>
      <c r="BD8" s="400"/>
      <c r="BE8" s="400"/>
      <c r="BF8" s="400"/>
      <c r="BG8" s="400"/>
      <c r="BH8" s="400"/>
      <c r="BI8" s="400"/>
      <c r="BJ8" s="400"/>
      <c r="BK8" s="35"/>
      <c r="BL8" s="400"/>
      <c r="BM8" s="400"/>
      <c r="BN8" s="35"/>
      <c r="BO8" s="400"/>
      <c r="BP8" s="35"/>
      <c r="BQ8" s="400"/>
      <c r="BR8" s="400"/>
      <c r="BS8" s="400"/>
      <c r="BT8" s="400"/>
      <c r="BU8" s="35"/>
      <c r="BV8" s="35"/>
      <c r="BW8" s="400"/>
      <c r="BX8" s="35"/>
      <c r="BY8" s="400"/>
      <c r="BZ8" s="35"/>
      <c r="CA8" s="35"/>
      <c r="CB8" s="35"/>
      <c r="CC8" s="35"/>
      <c r="CD8" s="35"/>
      <c r="CE8" s="400"/>
      <c r="CF8" s="35"/>
      <c r="CG8" s="35"/>
      <c r="CH8" s="222">
        <f t="shared" si="0"/>
        <v>0</v>
      </c>
      <c r="CI8" s="405">
        <f t="shared" si="1"/>
        <v>0</v>
      </c>
    </row>
    <row r="9" spans="1:87">
      <c r="A9" s="128" t="s">
        <v>383</v>
      </c>
      <c r="B9" s="35"/>
      <c r="C9" s="35"/>
      <c r="D9" s="35"/>
      <c r="E9" s="35"/>
      <c r="F9" s="35"/>
      <c r="G9" s="35"/>
      <c r="H9" s="35"/>
      <c r="I9" s="35"/>
      <c r="J9" s="400"/>
      <c r="K9" s="35"/>
      <c r="L9" s="400"/>
      <c r="M9" s="35"/>
      <c r="N9" s="400"/>
      <c r="O9" s="35"/>
      <c r="P9" s="400"/>
      <c r="Q9" s="35"/>
      <c r="R9" s="35"/>
      <c r="S9" s="35"/>
      <c r="T9" s="35"/>
      <c r="U9" s="35"/>
      <c r="V9" s="400"/>
      <c r="W9" s="35"/>
      <c r="X9" s="35"/>
      <c r="Y9" s="35"/>
      <c r="Z9" s="35"/>
      <c r="AA9" s="35"/>
      <c r="AB9" s="35"/>
      <c r="AC9" s="400"/>
      <c r="AD9" s="35"/>
      <c r="AE9" s="35"/>
      <c r="AF9" s="35"/>
      <c r="AG9" s="35"/>
      <c r="AH9" s="35"/>
      <c r="AI9" s="35"/>
      <c r="AJ9" s="35"/>
      <c r="AK9" s="35"/>
      <c r="AL9" s="35"/>
      <c r="AM9" s="35"/>
      <c r="AN9" s="35"/>
      <c r="AO9" s="400"/>
      <c r="AP9" s="35"/>
      <c r="AQ9" s="35">
        <v>1000</v>
      </c>
      <c r="AR9" s="35"/>
      <c r="AS9" s="35"/>
      <c r="AT9" s="400"/>
      <c r="AU9" s="35"/>
      <c r="AV9" s="35"/>
      <c r="AW9" s="35"/>
      <c r="AX9" s="400"/>
      <c r="AY9" s="400"/>
      <c r="AZ9" s="35"/>
      <c r="BA9" s="35"/>
      <c r="BB9" s="400"/>
      <c r="BC9" s="400"/>
      <c r="BD9" s="400"/>
      <c r="BE9" s="400"/>
      <c r="BF9" s="400"/>
      <c r="BG9" s="400"/>
      <c r="BH9" s="400"/>
      <c r="BI9" s="400"/>
      <c r="BJ9" s="400"/>
      <c r="BK9" s="35"/>
      <c r="BL9" s="400"/>
      <c r="BM9" s="400"/>
      <c r="BN9" s="35"/>
      <c r="BO9" s="400"/>
      <c r="BP9" s="35"/>
      <c r="BQ9" s="400"/>
      <c r="BR9" s="400"/>
      <c r="BS9" s="400"/>
      <c r="BT9" s="400"/>
      <c r="BU9" s="35"/>
      <c r="BV9" s="35"/>
      <c r="BW9" s="400"/>
      <c r="BX9" s="35"/>
      <c r="BY9" s="400"/>
      <c r="BZ9" s="35"/>
      <c r="CA9" s="35"/>
      <c r="CB9" s="35"/>
      <c r="CC9" s="35"/>
      <c r="CD9" s="35"/>
      <c r="CE9" s="400"/>
      <c r="CF9" s="35"/>
      <c r="CG9" s="35"/>
      <c r="CH9" s="222">
        <f t="shared" si="0"/>
        <v>1000</v>
      </c>
      <c r="CI9" s="405">
        <f t="shared" si="1"/>
        <v>0</v>
      </c>
    </row>
    <row r="10" spans="1:87">
      <c r="A10" s="128" t="s">
        <v>384</v>
      </c>
      <c r="B10" s="35">
        <v>3153.1</v>
      </c>
      <c r="C10" s="35"/>
      <c r="D10" s="35"/>
      <c r="E10" s="35"/>
      <c r="F10" s="35"/>
      <c r="G10" s="35"/>
      <c r="H10" s="35"/>
      <c r="I10" s="35"/>
      <c r="J10" s="400"/>
      <c r="K10" s="35"/>
      <c r="L10" s="400"/>
      <c r="M10" s="35"/>
      <c r="N10" s="400"/>
      <c r="O10" s="35"/>
      <c r="P10" s="400"/>
      <c r="Q10" s="35"/>
      <c r="R10" s="35"/>
      <c r="S10" s="35"/>
      <c r="T10" s="35">
        <v>2450.1</v>
      </c>
      <c r="U10" s="35"/>
      <c r="V10" s="400"/>
      <c r="W10" s="35"/>
      <c r="X10" s="35"/>
      <c r="Y10" s="35"/>
      <c r="Z10" s="35"/>
      <c r="AA10" s="35"/>
      <c r="AB10" s="35"/>
      <c r="AC10" s="400"/>
      <c r="AD10" s="35"/>
      <c r="AE10" s="35"/>
      <c r="AF10" s="35"/>
      <c r="AG10" s="35"/>
      <c r="AH10" s="35"/>
      <c r="AI10" s="35"/>
      <c r="AJ10" s="35"/>
      <c r="AK10" s="35"/>
      <c r="AL10" s="35"/>
      <c r="AM10" s="35">
        <f>2820.9+8854.7+20</f>
        <v>11695.6</v>
      </c>
      <c r="AN10" s="35"/>
      <c r="AO10" s="400"/>
      <c r="AP10" s="35"/>
      <c r="AQ10" s="35"/>
      <c r="AR10" s="35"/>
      <c r="AS10" s="35"/>
      <c r="AT10" s="400"/>
      <c r="AU10" s="35">
        <v>1954.5</v>
      </c>
      <c r="AV10" s="35">
        <f>127.034+15</f>
        <v>142.03399999999999</v>
      </c>
      <c r="AW10" s="35">
        <f>189.384</f>
        <v>189.38399999999999</v>
      </c>
      <c r="AX10" s="400"/>
      <c r="AY10" s="400"/>
      <c r="AZ10" s="35"/>
      <c r="BA10" s="35"/>
      <c r="BB10" s="400"/>
      <c r="BC10" s="400"/>
      <c r="BD10" s="400"/>
      <c r="BE10" s="400"/>
      <c r="BF10" s="400"/>
      <c r="BG10" s="400"/>
      <c r="BH10" s="400"/>
      <c r="BI10" s="400"/>
      <c r="BJ10" s="400"/>
      <c r="BK10" s="35"/>
      <c r="BL10" s="400"/>
      <c r="BM10" s="400"/>
      <c r="BN10" s="35"/>
      <c r="BO10" s="400"/>
      <c r="BP10" s="35"/>
      <c r="BQ10" s="400"/>
      <c r="BR10" s="400"/>
      <c r="BS10" s="400"/>
      <c r="BT10" s="400"/>
      <c r="BU10" s="35"/>
      <c r="BV10" s="35"/>
      <c r="BW10" s="400"/>
      <c r="BX10" s="35"/>
      <c r="BY10" s="400"/>
      <c r="BZ10" s="35"/>
      <c r="CA10" s="35"/>
      <c r="CB10" s="35"/>
      <c r="CC10" s="35"/>
      <c r="CD10" s="35"/>
      <c r="CE10" s="400"/>
      <c r="CF10" s="35"/>
      <c r="CG10" s="35"/>
      <c r="CH10" s="222">
        <f t="shared" si="0"/>
        <v>19584.717999999997</v>
      </c>
      <c r="CI10" s="405">
        <f t="shared" si="1"/>
        <v>0</v>
      </c>
    </row>
    <row r="11" spans="1:87">
      <c r="A11" s="128" t="s">
        <v>407</v>
      </c>
      <c r="B11" s="35"/>
      <c r="C11" s="35"/>
      <c r="D11" s="35"/>
      <c r="E11" s="35"/>
      <c r="F11" s="35"/>
      <c r="G11" s="35"/>
      <c r="H11" s="35"/>
      <c r="I11" s="35"/>
      <c r="J11" s="400"/>
      <c r="K11" s="35"/>
      <c r="L11" s="400"/>
      <c r="M11" s="35"/>
      <c r="N11" s="400"/>
      <c r="O11" s="35"/>
      <c r="P11" s="400"/>
      <c r="Q11" s="35"/>
      <c r="R11" s="35"/>
      <c r="S11" s="35"/>
      <c r="T11" s="35"/>
      <c r="U11" s="35"/>
      <c r="V11" s="400"/>
      <c r="W11" s="35"/>
      <c r="X11" s="35"/>
      <c r="Y11" s="35"/>
      <c r="Z11" s="35"/>
      <c r="AA11" s="35"/>
      <c r="AB11" s="35"/>
      <c r="AC11" s="400"/>
      <c r="AD11" s="35"/>
      <c r="AE11" s="35"/>
      <c r="AF11" s="35"/>
      <c r="AG11" s="35"/>
      <c r="AH11" s="35"/>
      <c r="AI11" s="35"/>
      <c r="AJ11" s="35"/>
      <c r="AK11" s="35"/>
      <c r="AL11" s="35"/>
      <c r="AM11" s="35"/>
      <c r="AN11" s="35"/>
      <c r="AO11" s="400"/>
      <c r="AP11" s="35"/>
      <c r="AQ11" s="35"/>
      <c r="AR11" s="35"/>
      <c r="AS11" s="35"/>
      <c r="AT11" s="400"/>
      <c r="AU11" s="35"/>
      <c r="AV11" s="35"/>
      <c r="AW11" s="35"/>
      <c r="AX11" s="400"/>
      <c r="AY11" s="400"/>
      <c r="AZ11" s="35"/>
      <c r="BA11" s="35"/>
      <c r="BB11" s="400"/>
      <c r="BC11" s="400"/>
      <c r="BD11" s="400"/>
      <c r="BE11" s="400"/>
      <c r="BF11" s="400"/>
      <c r="BG11" s="400"/>
      <c r="BH11" s="400"/>
      <c r="BI11" s="400"/>
      <c r="BJ11" s="400"/>
      <c r="BK11" s="35"/>
      <c r="BL11" s="400"/>
      <c r="BM11" s="400">
        <v>1266</v>
      </c>
      <c r="BN11" s="35"/>
      <c r="BO11" s="400"/>
      <c r="BP11" s="35"/>
      <c r="BQ11" s="400"/>
      <c r="BR11" s="400"/>
      <c r="BS11" s="400"/>
      <c r="BT11" s="400"/>
      <c r="BU11" s="35"/>
      <c r="BV11" s="35"/>
      <c r="BW11" s="400"/>
      <c r="BX11" s="35"/>
      <c r="BY11" s="400"/>
      <c r="BZ11" s="35"/>
      <c r="CA11" s="35"/>
      <c r="CB11" s="35"/>
      <c r="CC11" s="35"/>
      <c r="CD11" s="35"/>
      <c r="CE11" s="400"/>
      <c r="CF11" s="35"/>
      <c r="CG11" s="35"/>
      <c r="CH11" s="222">
        <f t="shared" si="0"/>
        <v>1266</v>
      </c>
      <c r="CI11" s="405">
        <f t="shared" si="1"/>
        <v>1266</v>
      </c>
    </row>
    <row r="12" spans="1:87">
      <c r="A12" s="128" t="s">
        <v>387</v>
      </c>
      <c r="B12" s="35"/>
      <c r="C12" s="35"/>
      <c r="D12" s="35"/>
      <c r="E12" s="35"/>
      <c r="F12" s="35"/>
      <c r="G12" s="35"/>
      <c r="H12" s="35"/>
      <c r="I12" s="35"/>
      <c r="J12" s="400"/>
      <c r="K12" s="35"/>
      <c r="L12" s="400"/>
      <c r="M12" s="35"/>
      <c r="N12" s="400"/>
      <c r="O12" s="35"/>
      <c r="P12" s="400"/>
      <c r="Q12" s="35"/>
      <c r="R12" s="35"/>
      <c r="S12" s="35"/>
      <c r="T12" s="35"/>
      <c r="U12" s="35"/>
      <c r="V12" s="400"/>
      <c r="W12" s="35"/>
      <c r="X12" s="35"/>
      <c r="Y12" s="35"/>
      <c r="Z12" s="35"/>
      <c r="AA12" s="35"/>
      <c r="AB12" s="35"/>
      <c r="AC12" s="400"/>
      <c r="AD12" s="35"/>
      <c r="AE12" s="35"/>
      <c r="AF12" s="35"/>
      <c r="AG12" s="35"/>
      <c r="AH12" s="35"/>
      <c r="AI12" s="35"/>
      <c r="AJ12" s="35"/>
      <c r="AK12" s="35"/>
      <c r="AL12" s="35"/>
      <c r="AM12" s="35"/>
      <c r="AN12" s="35"/>
      <c r="AO12" s="400"/>
      <c r="AP12" s="35"/>
      <c r="AQ12" s="35"/>
      <c r="AR12" s="35"/>
      <c r="AS12" s="35"/>
      <c r="AT12" s="400"/>
      <c r="AU12" s="35"/>
      <c r="AV12" s="35"/>
      <c r="AW12" s="35"/>
      <c r="AX12" s="400"/>
      <c r="AY12" s="400"/>
      <c r="AZ12" s="35"/>
      <c r="BA12" s="35"/>
      <c r="BB12" s="400"/>
      <c r="BC12" s="400"/>
      <c r="BD12" s="400"/>
      <c r="BE12" s="400"/>
      <c r="BF12" s="400"/>
      <c r="BG12" s="400"/>
      <c r="BH12" s="400"/>
      <c r="BI12" s="400"/>
      <c r="BJ12" s="400"/>
      <c r="BK12" s="35"/>
      <c r="BL12" s="400"/>
      <c r="BM12" s="400"/>
      <c r="BN12" s="35"/>
      <c r="BO12" s="400"/>
      <c r="BP12" s="35"/>
      <c r="BQ12" s="400"/>
      <c r="BR12" s="400"/>
      <c r="BS12" s="400"/>
      <c r="BT12" s="400"/>
      <c r="BU12" s="35"/>
      <c r="BV12" s="35"/>
      <c r="BW12" s="400"/>
      <c r="BX12" s="35"/>
      <c r="BY12" s="400"/>
      <c r="BZ12" s="35"/>
      <c r="CA12" s="35"/>
      <c r="CB12" s="35"/>
      <c r="CC12" s="35"/>
      <c r="CD12" s="35"/>
      <c r="CE12" s="400"/>
      <c r="CF12" s="35"/>
      <c r="CG12" s="35"/>
      <c r="CH12" s="222">
        <f t="shared" si="0"/>
        <v>0</v>
      </c>
      <c r="CI12" s="405">
        <f t="shared" si="1"/>
        <v>0</v>
      </c>
    </row>
    <row r="13" spans="1:87">
      <c r="A13" s="128" t="s">
        <v>408</v>
      </c>
      <c r="B13" s="35"/>
      <c r="C13" s="35"/>
      <c r="D13" s="35"/>
      <c r="E13" s="35"/>
      <c r="F13" s="35"/>
      <c r="G13" s="35">
        <f>150+158.1</f>
        <v>308.10000000000002</v>
      </c>
      <c r="H13" s="35"/>
      <c r="I13" s="35"/>
      <c r="J13" s="400"/>
      <c r="K13" s="35"/>
      <c r="L13" s="400"/>
      <c r="M13" s="35"/>
      <c r="N13" s="400"/>
      <c r="O13" s="35"/>
      <c r="P13" s="400"/>
      <c r="Q13" s="35"/>
      <c r="R13" s="35"/>
      <c r="S13" s="35"/>
      <c r="T13" s="35"/>
      <c r="U13" s="35"/>
      <c r="V13" s="400"/>
      <c r="W13" s="35"/>
      <c r="X13" s="35"/>
      <c r="Y13" s="35"/>
      <c r="Z13" s="35"/>
      <c r="AA13" s="35"/>
      <c r="AB13" s="35"/>
      <c r="AC13" s="400"/>
      <c r="AD13" s="35"/>
      <c r="AE13" s="35"/>
      <c r="AF13" s="35"/>
      <c r="AG13" s="35"/>
      <c r="AH13" s="35"/>
      <c r="AI13" s="35"/>
      <c r="AJ13" s="35"/>
      <c r="AK13" s="35"/>
      <c r="AL13" s="35"/>
      <c r="AM13" s="35"/>
      <c r="AN13" s="35"/>
      <c r="AO13" s="400"/>
      <c r="AP13" s="35"/>
      <c r="AQ13" s="35"/>
      <c r="AR13" s="35"/>
      <c r="AS13" s="35"/>
      <c r="AT13" s="400"/>
      <c r="AU13" s="35"/>
      <c r="AV13" s="35"/>
      <c r="AW13" s="35"/>
      <c r="AX13" s="400"/>
      <c r="AY13" s="400"/>
      <c r="AZ13" s="35"/>
      <c r="BA13" s="35"/>
      <c r="BB13" s="400"/>
      <c r="BC13" s="400"/>
      <c r="BD13" s="400"/>
      <c r="BE13" s="400"/>
      <c r="BF13" s="400"/>
      <c r="BG13" s="400"/>
      <c r="BH13" s="400"/>
      <c r="BI13" s="400"/>
      <c r="BJ13" s="400"/>
      <c r="BK13" s="35"/>
      <c r="BL13" s="400"/>
      <c r="BM13" s="400"/>
      <c r="BN13" s="35"/>
      <c r="BO13" s="400"/>
      <c r="BP13" s="35"/>
      <c r="BQ13" s="400"/>
      <c r="BR13" s="400"/>
      <c r="BS13" s="400"/>
      <c r="BT13" s="400"/>
      <c r="BU13" s="35"/>
      <c r="BV13" s="35"/>
      <c r="BW13" s="400"/>
      <c r="BX13" s="35"/>
      <c r="BY13" s="400"/>
      <c r="BZ13" s="35"/>
      <c r="CA13" s="35"/>
      <c r="CB13" s="35"/>
      <c r="CC13" s="35"/>
      <c r="CD13" s="35"/>
      <c r="CE13" s="400"/>
      <c r="CF13" s="35"/>
      <c r="CG13" s="35"/>
      <c r="CH13" s="222">
        <f t="shared" si="0"/>
        <v>308.10000000000002</v>
      </c>
      <c r="CI13" s="405">
        <f t="shared" si="1"/>
        <v>0</v>
      </c>
    </row>
    <row r="14" spans="1:87">
      <c r="A14" s="128" t="s">
        <v>410</v>
      </c>
      <c r="B14" s="35"/>
      <c r="C14" s="35"/>
      <c r="D14" s="35"/>
      <c r="E14" s="35"/>
      <c r="F14" s="35"/>
      <c r="G14" s="35"/>
      <c r="H14" s="35"/>
      <c r="I14" s="35"/>
      <c r="J14" s="400"/>
      <c r="K14" s="35"/>
      <c r="L14" s="400"/>
      <c r="M14" s="35"/>
      <c r="N14" s="400"/>
      <c r="O14" s="35"/>
      <c r="P14" s="400"/>
      <c r="Q14" s="35"/>
      <c r="R14" s="35"/>
      <c r="S14" s="35"/>
      <c r="T14" s="35"/>
      <c r="U14" s="35"/>
      <c r="V14" s="400"/>
      <c r="W14" s="35"/>
      <c r="X14" s="35"/>
      <c r="Y14" s="35"/>
      <c r="Z14" s="35"/>
      <c r="AA14" s="35"/>
      <c r="AB14" s="35"/>
      <c r="AC14" s="400"/>
      <c r="AD14" s="35"/>
      <c r="AE14" s="35"/>
      <c r="AF14" s="35"/>
      <c r="AG14" s="35"/>
      <c r="AH14" s="35"/>
      <c r="AI14" s="35"/>
      <c r="AJ14" s="35"/>
      <c r="AK14" s="35"/>
      <c r="AL14" s="35"/>
      <c r="AM14" s="35"/>
      <c r="AN14" s="35"/>
      <c r="AO14" s="400"/>
      <c r="AP14" s="35"/>
      <c r="AQ14" s="35"/>
      <c r="AR14" s="35"/>
      <c r="AS14" s="35"/>
      <c r="AT14" s="400"/>
      <c r="AU14" s="35"/>
      <c r="AV14" s="35"/>
      <c r="AW14" s="35"/>
      <c r="AX14" s="400"/>
      <c r="AY14" s="400"/>
      <c r="AZ14" s="35"/>
      <c r="BA14" s="35"/>
      <c r="BB14" s="400">
        <v>50.863</v>
      </c>
      <c r="BC14" s="400">
        <v>161.137</v>
      </c>
      <c r="BD14" s="400"/>
      <c r="BE14" s="400"/>
      <c r="BF14" s="400"/>
      <c r="BG14" s="400"/>
      <c r="BH14" s="400"/>
      <c r="BI14" s="400"/>
      <c r="BJ14" s="400"/>
      <c r="BK14" s="35"/>
      <c r="BL14" s="400"/>
      <c r="BM14" s="400"/>
      <c r="BN14" s="35"/>
      <c r="BO14" s="400"/>
      <c r="BP14" s="35"/>
      <c r="BQ14" s="400"/>
      <c r="BR14" s="400"/>
      <c r="BS14" s="400"/>
      <c r="BT14" s="400"/>
      <c r="BU14" s="35"/>
      <c r="BV14" s="35"/>
      <c r="BW14" s="400"/>
      <c r="BX14" s="35"/>
      <c r="BY14" s="400"/>
      <c r="BZ14" s="35"/>
      <c r="CA14" s="35"/>
      <c r="CB14" s="35"/>
      <c r="CC14" s="35"/>
      <c r="CD14" s="35"/>
      <c r="CE14" s="400"/>
      <c r="CF14" s="35"/>
      <c r="CG14" s="35"/>
      <c r="CH14" s="222">
        <f t="shared" si="0"/>
        <v>212</v>
      </c>
      <c r="CI14" s="405">
        <f t="shared" si="1"/>
        <v>212</v>
      </c>
    </row>
    <row r="15" spans="1:87">
      <c r="A15" s="128" t="s">
        <v>389</v>
      </c>
      <c r="B15" s="35"/>
      <c r="C15" s="35"/>
      <c r="D15" s="35"/>
      <c r="E15" s="35"/>
      <c r="F15" s="35"/>
      <c r="G15" s="35"/>
      <c r="H15" s="35"/>
      <c r="I15" s="35"/>
      <c r="J15" s="400"/>
      <c r="K15" s="35"/>
      <c r="L15" s="400"/>
      <c r="M15" s="35"/>
      <c r="N15" s="400"/>
      <c r="O15" s="35"/>
      <c r="P15" s="400"/>
      <c r="Q15" s="35"/>
      <c r="R15" s="35"/>
      <c r="S15" s="35"/>
      <c r="T15" s="35"/>
      <c r="U15" s="35"/>
      <c r="V15" s="400"/>
      <c r="W15" s="35"/>
      <c r="X15" s="35"/>
      <c r="Y15" s="35">
        <v>355</v>
      </c>
      <c r="Z15" s="35"/>
      <c r="AA15" s="35"/>
      <c r="AB15" s="35"/>
      <c r="AC15" s="400"/>
      <c r="AD15" s="35"/>
      <c r="AE15" s="35"/>
      <c r="AF15" s="35"/>
      <c r="AG15" s="35"/>
      <c r="AH15" s="35"/>
      <c r="AI15" s="35"/>
      <c r="AJ15" s="35"/>
      <c r="AK15" s="35"/>
      <c r="AL15" s="35"/>
      <c r="AM15" s="35"/>
      <c r="AN15" s="35"/>
      <c r="AO15" s="400"/>
      <c r="AP15" s="35"/>
      <c r="AQ15" s="35"/>
      <c r="AR15" s="35"/>
      <c r="AS15" s="35"/>
      <c r="AT15" s="400"/>
      <c r="AU15" s="35"/>
      <c r="AV15" s="35"/>
      <c r="AW15" s="35"/>
      <c r="AX15" s="400"/>
      <c r="AY15" s="400"/>
      <c r="AZ15" s="35"/>
      <c r="BA15" s="35"/>
      <c r="BB15" s="400">
        <f>579.104+12.94</f>
        <v>592.0440000000001</v>
      </c>
      <c r="BC15" s="400">
        <f>1339.896+42.86</f>
        <v>1382.7559999999999</v>
      </c>
      <c r="BD15" s="400">
        <f>74.9+365.7+7609.5+400+1000+310.7</f>
        <v>9760.8000000000011</v>
      </c>
      <c r="BE15" s="400"/>
      <c r="BF15" s="400"/>
      <c r="BG15" s="400"/>
      <c r="BH15" s="400">
        <v>641.79999999999995</v>
      </c>
      <c r="BI15" s="400"/>
      <c r="BJ15" s="400"/>
      <c r="BK15" s="35"/>
      <c r="BL15" s="400"/>
      <c r="BM15" s="400"/>
      <c r="BN15" s="35"/>
      <c r="BO15" s="400"/>
      <c r="BP15" s="35"/>
      <c r="BQ15" s="400"/>
      <c r="BR15" s="400"/>
      <c r="BS15" s="400"/>
      <c r="BT15" s="400"/>
      <c r="BU15" s="35"/>
      <c r="BV15" s="35"/>
      <c r="BW15" s="400"/>
      <c r="BX15" s="35"/>
      <c r="BY15" s="400"/>
      <c r="BZ15" s="35"/>
      <c r="CA15" s="35"/>
      <c r="CB15" s="35"/>
      <c r="CC15" s="35"/>
      <c r="CD15" s="35"/>
      <c r="CE15" s="400">
        <v>43.8</v>
      </c>
      <c r="CF15" s="35"/>
      <c r="CG15" s="35"/>
      <c r="CH15" s="222">
        <f t="shared" si="0"/>
        <v>12776.2</v>
      </c>
      <c r="CI15" s="405">
        <f t="shared" si="1"/>
        <v>12421.199999999999</v>
      </c>
    </row>
    <row r="16" spans="1:87">
      <c r="A16" s="128" t="s">
        <v>390</v>
      </c>
      <c r="B16" s="35"/>
      <c r="C16" s="35"/>
      <c r="D16" s="35"/>
      <c r="E16" s="35"/>
      <c r="F16" s="35"/>
      <c r="G16" s="35"/>
      <c r="H16" s="35"/>
      <c r="I16" s="35"/>
      <c r="J16" s="400"/>
      <c r="K16" s="35"/>
      <c r="L16" s="400"/>
      <c r="M16" s="35"/>
      <c r="N16" s="400"/>
      <c r="O16" s="35"/>
      <c r="P16" s="400"/>
      <c r="Q16" s="35"/>
      <c r="R16" s="35"/>
      <c r="S16" s="35"/>
      <c r="T16" s="35"/>
      <c r="U16" s="35"/>
      <c r="V16" s="400"/>
      <c r="W16" s="35"/>
      <c r="X16" s="35">
        <v>500</v>
      </c>
      <c r="Y16" s="35"/>
      <c r="Z16" s="35"/>
      <c r="AA16" s="35"/>
      <c r="AB16" s="35"/>
      <c r="AC16" s="400"/>
      <c r="AD16" s="35"/>
      <c r="AE16" s="35"/>
      <c r="AF16" s="35"/>
      <c r="AG16" s="35"/>
      <c r="AH16" s="35"/>
      <c r="AI16" s="35"/>
      <c r="AJ16" s="35"/>
      <c r="AK16" s="35"/>
      <c r="AL16" s="35"/>
      <c r="AM16" s="35"/>
      <c r="AN16" s="35"/>
      <c r="AO16" s="400"/>
      <c r="AP16" s="35"/>
      <c r="AQ16" s="35"/>
      <c r="AR16" s="35"/>
      <c r="AS16" s="35"/>
      <c r="AT16" s="400"/>
      <c r="AU16" s="35"/>
      <c r="AV16" s="35"/>
      <c r="AW16" s="35"/>
      <c r="AX16" s="400"/>
      <c r="AY16" s="400"/>
      <c r="AZ16" s="35"/>
      <c r="BA16" s="35"/>
      <c r="BB16" s="400"/>
      <c r="BC16" s="400"/>
      <c r="BD16" s="400"/>
      <c r="BE16" s="400"/>
      <c r="BF16" s="400"/>
      <c r="BG16" s="400"/>
      <c r="BH16" s="400"/>
      <c r="BI16" s="400"/>
      <c r="BJ16" s="400"/>
      <c r="BK16" s="35"/>
      <c r="BL16" s="400"/>
      <c r="BM16" s="400"/>
      <c r="BN16" s="35"/>
      <c r="BO16" s="400"/>
      <c r="BP16" s="35"/>
      <c r="BQ16" s="400"/>
      <c r="BR16" s="400"/>
      <c r="BS16" s="400"/>
      <c r="BT16" s="400"/>
      <c r="BU16" s="35"/>
      <c r="BV16" s="35"/>
      <c r="BW16" s="400"/>
      <c r="BX16" s="35"/>
      <c r="BY16" s="400"/>
      <c r="BZ16" s="35"/>
      <c r="CA16" s="35"/>
      <c r="CB16" s="35"/>
      <c r="CC16" s="35"/>
      <c r="CD16" s="35"/>
      <c r="CE16" s="400"/>
      <c r="CF16" s="35"/>
      <c r="CG16" s="35"/>
      <c r="CH16" s="222">
        <f t="shared" si="0"/>
        <v>500</v>
      </c>
      <c r="CI16" s="405">
        <f t="shared" si="1"/>
        <v>0</v>
      </c>
    </row>
    <row r="17" spans="1:87">
      <c r="A17" s="128" t="s">
        <v>391</v>
      </c>
      <c r="B17" s="35"/>
      <c r="C17" s="35"/>
      <c r="D17" s="35"/>
      <c r="E17" s="35">
        <f>3216.2</f>
        <v>3216.2</v>
      </c>
      <c r="F17" s="35">
        <v>3356.2</v>
      </c>
      <c r="G17" s="35"/>
      <c r="H17" s="35"/>
      <c r="I17" s="35"/>
      <c r="J17" s="400"/>
      <c r="K17" s="35"/>
      <c r="L17" s="400"/>
      <c r="M17" s="35"/>
      <c r="N17" s="400"/>
      <c r="O17" s="35"/>
      <c r="P17" s="400"/>
      <c r="Q17" s="35"/>
      <c r="R17" s="35"/>
      <c r="S17" s="35"/>
      <c r="T17" s="35"/>
      <c r="U17" s="35"/>
      <c r="V17" s="400"/>
      <c r="W17" s="35"/>
      <c r="X17" s="35"/>
      <c r="Y17" s="35"/>
      <c r="Z17" s="35"/>
      <c r="AA17" s="35"/>
      <c r="AB17" s="35"/>
      <c r="AC17" s="400"/>
      <c r="AD17" s="35"/>
      <c r="AE17" s="35"/>
      <c r="AF17" s="35"/>
      <c r="AG17" s="35"/>
      <c r="AH17" s="35"/>
      <c r="AI17" s="35"/>
      <c r="AJ17" s="35"/>
      <c r="AK17" s="35"/>
      <c r="AL17" s="35"/>
      <c r="AM17" s="35"/>
      <c r="AN17" s="35"/>
      <c r="AO17" s="400"/>
      <c r="AP17" s="35"/>
      <c r="AQ17" s="35"/>
      <c r="AR17" s="35"/>
      <c r="AS17" s="35"/>
      <c r="AT17" s="400"/>
      <c r="AU17" s="35"/>
      <c r="AV17" s="35"/>
      <c r="AW17" s="35"/>
      <c r="AX17" s="400"/>
      <c r="AY17" s="400"/>
      <c r="AZ17" s="35"/>
      <c r="BA17" s="35"/>
      <c r="BB17" s="400"/>
      <c r="BC17" s="400"/>
      <c r="BD17" s="400"/>
      <c r="BE17" s="400"/>
      <c r="BF17" s="400"/>
      <c r="BG17" s="400"/>
      <c r="BH17" s="400"/>
      <c r="BI17" s="400"/>
      <c r="BJ17" s="400"/>
      <c r="BK17" s="35"/>
      <c r="BL17" s="400"/>
      <c r="BM17" s="400"/>
      <c r="BN17" s="35"/>
      <c r="BO17" s="400"/>
      <c r="BP17" s="35"/>
      <c r="BQ17" s="400"/>
      <c r="BR17" s="400"/>
      <c r="BS17" s="400"/>
      <c r="BT17" s="400">
        <v>12000</v>
      </c>
      <c r="BU17" s="35"/>
      <c r="BV17" s="35"/>
      <c r="BW17" s="400"/>
      <c r="BX17" s="35"/>
      <c r="BY17" s="400"/>
      <c r="BZ17" s="35"/>
      <c r="CA17" s="35"/>
      <c r="CB17" s="35"/>
      <c r="CC17" s="35"/>
      <c r="CD17" s="35"/>
      <c r="CE17" s="400"/>
      <c r="CF17" s="35"/>
      <c r="CG17" s="35"/>
      <c r="CH17" s="222">
        <f t="shared" si="0"/>
        <v>18572.400000000001</v>
      </c>
      <c r="CI17" s="405">
        <f t="shared" si="1"/>
        <v>12000</v>
      </c>
    </row>
    <row r="18" spans="1:87">
      <c r="A18" s="128" t="s">
        <v>392</v>
      </c>
      <c r="B18" s="35"/>
      <c r="C18" s="35"/>
      <c r="D18" s="35">
        <v>3588.3</v>
      </c>
      <c r="E18" s="35"/>
      <c r="F18" s="35"/>
      <c r="G18" s="35"/>
      <c r="H18" s="35"/>
      <c r="I18" s="35"/>
      <c r="J18" s="400"/>
      <c r="K18" s="35"/>
      <c r="L18" s="400"/>
      <c r="M18" s="35"/>
      <c r="N18" s="400"/>
      <c r="O18" s="35"/>
      <c r="P18" s="400"/>
      <c r="Q18" s="35"/>
      <c r="R18" s="35"/>
      <c r="S18" s="35"/>
      <c r="T18" s="35"/>
      <c r="U18" s="35"/>
      <c r="V18" s="400"/>
      <c r="W18" s="35"/>
      <c r="X18" s="35"/>
      <c r="Y18" s="35"/>
      <c r="Z18" s="35"/>
      <c r="AA18" s="35"/>
      <c r="AB18" s="35"/>
      <c r="AC18" s="400"/>
      <c r="AD18" s="35"/>
      <c r="AE18" s="35"/>
      <c r="AF18" s="35"/>
      <c r="AG18" s="35"/>
      <c r="AH18" s="35"/>
      <c r="AI18" s="35"/>
      <c r="AJ18" s="35"/>
      <c r="AK18" s="35"/>
      <c r="AL18" s="35"/>
      <c r="AM18" s="35"/>
      <c r="AN18" s="35"/>
      <c r="AO18" s="400"/>
      <c r="AP18" s="35"/>
      <c r="AQ18" s="35"/>
      <c r="AR18" s="35"/>
      <c r="AS18" s="35"/>
      <c r="AT18" s="400"/>
      <c r="AU18" s="35"/>
      <c r="AV18" s="35"/>
      <c r="AW18" s="35"/>
      <c r="AX18" s="400"/>
      <c r="AY18" s="400"/>
      <c r="AZ18" s="35"/>
      <c r="BA18" s="35"/>
      <c r="BB18" s="400"/>
      <c r="BC18" s="400"/>
      <c r="BD18" s="400"/>
      <c r="BE18" s="400"/>
      <c r="BF18" s="400"/>
      <c r="BG18" s="400"/>
      <c r="BH18" s="400"/>
      <c r="BI18" s="400"/>
      <c r="BJ18" s="400"/>
      <c r="BK18" s="35"/>
      <c r="BL18" s="400"/>
      <c r="BM18" s="400"/>
      <c r="BN18" s="35"/>
      <c r="BO18" s="400"/>
      <c r="BP18" s="35"/>
      <c r="BQ18" s="400"/>
      <c r="BR18" s="400">
        <v>39514</v>
      </c>
      <c r="BS18" s="400"/>
      <c r="BT18" s="400"/>
      <c r="BU18" s="35"/>
      <c r="BV18" s="35"/>
      <c r="BW18" s="400"/>
      <c r="BX18" s="35"/>
      <c r="BY18" s="400"/>
      <c r="BZ18" s="35"/>
      <c r="CA18" s="35"/>
      <c r="CB18" s="35"/>
      <c r="CC18" s="35"/>
      <c r="CD18" s="35"/>
      <c r="CE18" s="400"/>
      <c r="CF18" s="35"/>
      <c r="CG18" s="35"/>
      <c r="CH18" s="222">
        <f t="shared" si="0"/>
        <v>43102.3</v>
      </c>
      <c r="CI18" s="405">
        <f t="shared" si="1"/>
        <v>39514</v>
      </c>
    </row>
    <row r="19" spans="1:87">
      <c r="A19" s="128" t="s">
        <v>766</v>
      </c>
      <c r="B19" s="35"/>
      <c r="C19" s="35"/>
      <c r="D19" s="35"/>
      <c r="E19" s="35"/>
      <c r="F19" s="35"/>
      <c r="G19" s="35"/>
      <c r="H19" s="35"/>
      <c r="I19" s="35"/>
      <c r="J19" s="400"/>
      <c r="K19" s="35"/>
      <c r="L19" s="400"/>
      <c r="M19" s="35"/>
      <c r="N19" s="400"/>
      <c r="O19" s="35"/>
      <c r="P19" s="400"/>
      <c r="Q19" s="35"/>
      <c r="R19" s="35"/>
      <c r="S19" s="35"/>
      <c r="T19" s="35"/>
      <c r="U19" s="35"/>
      <c r="V19" s="400"/>
      <c r="W19" s="35"/>
      <c r="X19" s="35"/>
      <c r="Y19" s="35"/>
      <c r="Z19" s="35"/>
      <c r="AA19" s="35"/>
      <c r="AB19" s="35"/>
      <c r="AC19" s="400"/>
      <c r="AD19" s="35"/>
      <c r="AE19" s="35"/>
      <c r="AF19" s="35"/>
      <c r="AG19" s="35"/>
      <c r="AH19" s="35"/>
      <c r="AI19" s="35"/>
      <c r="AJ19" s="35"/>
      <c r="AK19" s="35"/>
      <c r="AL19" s="35"/>
      <c r="AM19" s="35"/>
      <c r="AN19" s="35"/>
      <c r="AO19" s="400"/>
      <c r="AP19" s="35"/>
      <c r="AQ19" s="35"/>
      <c r="AR19" s="35"/>
      <c r="AS19" s="35"/>
      <c r="AT19" s="400"/>
      <c r="AU19" s="35"/>
      <c r="AV19" s="35"/>
      <c r="AW19" s="35"/>
      <c r="AX19" s="400"/>
      <c r="AY19" s="400"/>
      <c r="AZ19" s="35"/>
      <c r="BA19" s="35"/>
      <c r="BB19" s="400"/>
      <c r="BC19" s="400"/>
      <c r="BD19" s="400"/>
      <c r="BE19" s="400"/>
      <c r="BF19" s="400"/>
      <c r="BG19" s="400"/>
      <c r="BH19" s="400"/>
      <c r="BI19" s="400"/>
      <c r="BJ19" s="400"/>
      <c r="BK19" s="35"/>
      <c r="BL19" s="400"/>
      <c r="BM19" s="400"/>
      <c r="BN19" s="35"/>
      <c r="BO19" s="400"/>
      <c r="BP19" s="35"/>
      <c r="BQ19" s="400"/>
      <c r="BR19" s="400"/>
      <c r="BS19" s="400"/>
      <c r="BT19" s="400"/>
      <c r="BU19" s="35"/>
      <c r="BV19" s="35"/>
      <c r="BW19" s="400"/>
      <c r="BX19" s="35"/>
      <c r="BY19" s="400"/>
      <c r="BZ19" s="35"/>
      <c r="CA19" s="35"/>
      <c r="CB19" s="35"/>
      <c r="CC19" s="35"/>
      <c r="CD19" s="35"/>
      <c r="CE19" s="400"/>
      <c r="CF19" s="35"/>
      <c r="CG19" s="35"/>
      <c r="CH19" s="222">
        <f t="shared" si="0"/>
        <v>0</v>
      </c>
      <c r="CI19" s="405">
        <f t="shared" si="1"/>
        <v>0</v>
      </c>
    </row>
    <row r="20" spans="1:87">
      <c r="A20" s="128" t="s">
        <v>394</v>
      </c>
      <c r="B20" s="35"/>
      <c r="C20" s="35"/>
      <c r="D20" s="35"/>
      <c r="E20" s="35"/>
      <c r="F20" s="35"/>
      <c r="G20" s="35"/>
      <c r="H20" s="35"/>
      <c r="I20" s="35"/>
      <c r="J20" s="400"/>
      <c r="K20" s="35"/>
      <c r="L20" s="400"/>
      <c r="M20" s="35"/>
      <c r="N20" s="400"/>
      <c r="O20" s="35"/>
      <c r="P20" s="400"/>
      <c r="Q20" s="35"/>
      <c r="R20" s="35"/>
      <c r="S20" s="35"/>
      <c r="T20" s="35"/>
      <c r="U20" s="35"/>
      <c r="V20" s="400"/>
      <c r="W20" s="35"/>
      <c r="X20" s="35"/>
      <c r="Y20" s="35"/>
      <c r="Z20" s="35">
        <v>550</v>
      </c>
      <c r="AA20" s="35"/>
      <c r="AB20" s="35"/>
      <c r="AC20" s="400"/>
      <c r="AD20" s="35"/>
      <c r="AE20" s="35"/>
      <c r="AF20" s="35"/>
      <c r="AG20" s="35"/>
      <c r="AH20" s="35"/>
      <c r="AI20" s="35"/>
      <c r="AJ20" s="35"/>
      <c r="AK20" s="35"/>
      <c r="AL20" s="35"/>
      <c r="AM20" s="35"/>
      <c r="AN20" s="35"/>
      <c r="AO20" s="400"/>
      <c r="AP20" s="35"/>
      <c r="AQ20" s="35"/>
      <c r="AR20" s="35"/>
      <c r="AS20" s="35"/>
      <c r="AT20" s="400"/>
      <c r="AU20" s="35"/>
      <c r="AV20" s="35"/>
      <c r="AW20" s="35"/>
      <c r="AX20" s="400"/>
      <c r="AY20" s="400"/>
      <c r="AZ20" s="35"/>
      <c r="BA20" s="35"/>
      <c r="BB20" s="400"/>
      <c r="BC20" s="400"/>
      <c r="BD20" s="400"/>
      <c r="BE20" s="400"/>
      <c r="BF20" s="400"/>
      <c r="BG20" s="400"/>
      <c r="BH20" s="400"/>
      <c r="BI20" s="400"/>
      <c r="BJ20" s="400"/>
      <c r="BK20" s="35"/>
      <c r="BL20" s="400"/>
      <c r="BM20" s="400"/>
      <c r="BN20" s="35"/>
      <c r="BO20" s="400"/>
      <c r="BP20" s="35"/>
      <c r="BQ20" s="400"/>
      <c r="BR20" s="400"/>
      <c r="BS20" s="400"/>
      <c r="BT20" s="400"/>
      <c r="BU20" s="35"/>
      <c r="BV20" s="35"/>
      <c r="BW20" s="400"/>
      <c r="BX20" s="35"/>
      <c r="BY20" s="400"/>
      <c r="BZ20" s="35"/>
      <c r="CA20" s="35"/>
      <c r="CB20" s="35"/>
      <c r="CC20" s="35"/>
      <c r="CD20" s="35"/>
      <c r="CE20" s="400"/>
      <c r="CF20" s="35"/>
      <c r="CG20" s="35"/>
      <c r="CH20" s="222">
        <f t="shared" si="0"/>
        <v>550</v>
      </c>
      <c r="CI20" s="405">
        <f t="shared" si="1"/>
        <v>0</v>
      </c>
    </row>
    <row r="21" spans="1:87">
      <c r="A21" s="128" t="s">
        <v>409</v>
      </c>
      <c r="B21" s="35"/>
      <c r="C21" s="35"/>
      <c r="D21" s="35"/>
      <c r="E21" s="35"/>
      <c r="F21" s="35"/>
      <c r="G21" s="35"/>
      <c r="H21" s="35"/>
      <c r="I21" s="35"/>
      <c r="J21" s="400"/>
      <c r="K21" s="35"/>
      <c r="L21" s="400"/>
      <c r="M21" s="35"/>
      <c r="N21" s="400"/>
      <c r="O21" s="35"/>
      <c r="P21" s="400"/>
      <c r="Q21" s="35"/>
      <c r="R21" s="35"/>
      <c r="S21" s="35"/>
      <c r="T21" s="35"/>
      <c r="U21" s="35"/>
      <c r="V21" s="400"/>
      <c r="W21" s="35"/>
      <c r="X21" s="35"/>
      <c r="Y21" s="35"/>
      <c r="Z21" s="35"/>
      <c r="AA21" s="35"/>
      <c r="AB21" s="35"/>
      <c r="AC21" s="400"/>
      <c r="AD21" s="35"/>
      <c r="AE21" s="35"/>
      <c r="AF21" s="35"/>
      <c r="AG21" s="35"/>
      <c r="AH21" s="35"/>
      <c r="AI21" s="35"/>
      <c r="AJ21" s="35"/>
      <c r="AK21" s="35"/>
      <c r="AL21" s="35"/>
      <c r="AM21" s="35"/>
      <c r="AN21" s="35"/>
      <c r="AO21" s="400"/>
      <c r="AP21" s="35"/>
      <c r="AQ21" s="35"/>
      <c r="AR21" s="35"/>
      <c r="AS21" s="35"/>
      <c r="AT21" s="400"/>
      <c r="AU21" s="35"/>
      <c r="AV21" s="35"/>
      <c r="AW21" s="35"/>
      <c r="AX21" s="400"/>
      <c r="AY21" s="400"/>
      <c r="AZ21" s="35"/>
      <c r="BA21" s="35"/>
      <c r="BB21" s="400"/>
      <c r="BC21" s="400"/>
      <c r="BD21" s="400"/>
      <c r="BE21" s="400"/>
      <c r="BF21" s="400"/>
      <c r="BG21" s="400"/>
      <c r="BH21" s="400"/>
      <c r="BI21" s="400"/>
      <c r="BJ21" s="400"/>
      <c r="BK21" s="35"/>
      <c r="BL21" s="400"/>
      <c r="BM21" s="400"/>
      <c r="BN21" s="35"/>
      <c r="BO21" s="400"/>
      <c r="BP21" s="35"/>
      <c r="BQ21" s="400"/>
      <c r="BR21" s="400"/>
      <c r="BS21" s="400">
        <v>128</v>
      </c>
      <c r="BT21" s="400"/>
      <c r="BU21" s="35"/>
      <c r="BV21" s="35"/>
      <c r="BW21" s="400"/>
      <c r="BX21" s="35"/>
      <c r="BY21" s="400"/>
      <c r="BZ21" s="35"/>
      <c r="CA21" s="35"/>
      <c r="CB21" s="35"/>
      <c r="CC21" s="35"/>
      <c r="CD21" s="35"/>
      <c r="CE21" s="400"/>
      <c r="CF21" s="35"/>
      <c r="CG21" s="35"/>
      <c r="CH21" s="222">
        <f t="shared" si="0"/>
        <v>128</v>
      </c>
      <c r="CI21" s="405">
        <f t="shared" si="1"/>
        <v>128</v>
      </c>
    </row>
    <row r="22" spans="1:87">
      <c r="A22" s="128" t="s">
        <v>395</v>
      </c>
      <c r="B22" s="35"/>
      <c r="C22" s="35"/>
      <c r="D22" s="35"/>
      <c r="E22" s="35"/>
      <c r="F22" s="35"/>
      <c r="G22" s="35"/>
      <c r="H22" s="35"/>
      <c r="I22" s="35"/>
      <c r="J22" s="400"/>
      <c r="K22" s="35"/>
      <c r="L22" s="400"/>
      <c r="M22" s="35"/>
      <c r="N22" s="400"/>
      <c r="O22" s="35"/>
      <c r="P22" s="400"/>
      <c r="Q22" s="35"/>
      <c r="R22" s="35"/>
      <c r="S22" s="35"/>
      <c r="T22" s="35"/>
      <c r="U22" s="35"/>
      <c r="V22" s="400"/>
      <c r="W22" s="35"/>
      <c r="X22" s="35"/>
      <c r="Y22" s="35"/>
      <c r="Z22" s="35"/>
      <c r="AA22" s="35"/>
      <c r="AB22" s="35"/>
      <c r="AC22" s="400"/>
      <c r="AD22" s="35"/>
      <c r="AE22" s="35"/>
      <c r="AF22" s="35"/>
      <c r="AG22" s="35"/>
      <c r="AH22" s="35"/>
      <c r="AI22" s="35"/>
      <c r="AJ22" s="35"/>
      <c r="AK22" s="35"/>
      <c r="AL22" s="35"/>
      <c r="AM22" s="35"/>
      <c r="AN22" s="35"/>
      <c r="AO22" s="400"/>
      <c r="AP22" s="35"/>
      <c r="AQ22" s="35"/>
      <c r="AR22" s="35"/>
      <c r="AS22" s="35"/>
      <c r="AT22" s="400"/>
      <c r="AU22" s="35"/>
      <c r="AV22" s="35"/>
      <c r="AW22" s="35"/>
      <c r="AX22" s="400"/>
      <c r="AY22" s="400"/>
      <c r="AZ22" s="35"/>
      <c r="BA22" s="35"/>
      <c r="BB22" s="400"/>
      <c r="BC22" s="400"/>
      <c r="BD22" s="400"/>
      <c r="BE22" s="400"/>
      <c r="BF22" s="400"/>
      <c r="BG22" s="400"/>
      <c r="BH22" s="400"/>
      <c r="BI22" s="400"/>
      <c r="BJ22" s="400"/>
      <c r="BK22" s="35"/>
      <c r="BL22" s="400"/>
      <c r="BM22" s="400"/>
      <c r="BN22" s="35"/>
      <c r="BO22" s="400"/>
      <c r="BP22" s="35"/>
      <c r="BQ22" s="400">
        <f>29199.7+11000</f>
        <v>40199.699999999997</v>
      </c>
      <c r="BR22" s="400"/>
      <c r="BS22" s="400"/>
      <c r="BT22" s="400"/>
      <c r="BU22" s="35"/>
      <c r="BV22" s="35"/>
      <c r="BW22" s="400">
        <v>14859.5</v>
      </c>
      <c r="BX22" s="35"/>
      <c r="BY22" s="400"/>
      <c r="BZ22" s="35"/>
      <c r="CA22" s="35"/>
      <c r="CB22" s="35"/>
      <c r="CC22" s="35"/>
      <c r="CD22" s="35"/>
      <c r="CE22" s="400"/>
      <c r="CF22" s="35"/>
      <c r="CG22" s="35"/>
      <c r="CH22" s="222">
        <f t="shared" si="0"/>
        <v>55059.199999999997</v>
      </c>
      <c r="CI22" s="405">
        <f t="shared" si="1"/>
        <v>55059.199999999997</v>
      </c>
    </row>
    <row r="23" spans="1:87">
      <c r="A23" s="128" t="s">
        <v>396</v>
      </c>
      <c r="B23" s="35"/>
      <c r="C23" s="35"/>
      <c r="D23" s="35"/>
      <c r="E23" s="35"/>
      <c r="F23" s="35"/>
      <c r="G23" s="35"/>
      <c r="H23" s="35"/>
      <c r="I23" s="35"/>
      <c r="J23" s="400"/>
      <c r="K23" s="35"/>
      <c r="L23" s="400"/>
      <c r="M23" s="35"/>
      <c r="N23" s="400"/>
      <c r="O23" s="35"/>
      <c r="P23" s="400"/>
      <c r="Q23" s="35"/>
      <c r="R23" s="35">
        <v>1602.2</v>
      </c>
      <c r="S23" s="35"/>
      <c r="T23" s="35"/>
      <c r="U23" s="35"/>
      <c r="V23" s="400"/>
      <c r="W23" s="35"/>
      <c r="X23" s="35"/>
      <c r="Y23" s="35"/>
      <c r="Z23" s="35"/>
      <c r="AA23" s="35"/>
      <c r="AB23" s="35"/>
      <c r="AC23" s="400"/>
      <c r="AD23" s="35"/>
      <c r="AE23" s="35"/>
      <c r="AF23" s="35"/>
      <c r="AG23" s="35"/>
      <c r="AH23" s="35"/>
      <c r="AI23" s="35"/>
      <c r="AJ23" s="35"/>
      <c r="AK23" s="35"/>
      <c r="AL23" s="35"/>
      <c r="AM23" s="35"/>
      <c r="AN23" s="35"/>
      <c r="AO23" s="400"/>
      <c r="AP23" s="35"/>
      <c r="AQ23" s="35"/>
      <c r="AR23" s="35"/>
      <c r="AS23" s="35"/>
      <c r="AT23" s="400"/>
      <c r="AU23" s="35"/>
      <c r="AV23" s="35"/>
      <c r="AW23" s="35"/>
      <c r="AX23" s="400"/>
      <c r="AY23" s="400"/>
      <c r="AZ23" s="35"/>
      <c r="BA23" s="35"/>
      <c r="BB23" s="400"/>
      <c r="BC23" s="400"/>
      <c r="BD23" s="400"/>
      <c r="BE23" s="400"/>
      <c r="BF23" s="400"/>
      <c r="BG23" s="400"/>
      <c r="BH23" s="400"/>
      <c r="BI23" s="400"/>
      <c r="BJ23" s="400"/>
      <c r="BK23" s="35"/>
      <c r="BL23" s="400"/>
      <c r="BM23" s="400"/>
      <c r="BN23" s="35"/>
      <c r="BO23" s="400"/>
      <c r="BP23" s="35"/>
      <c r="BQ23" s="400"/>
      <c r="BR23" s="400"/>
      <c r="BS23" s="400"/>
      <c r="BT23" s="400"/>
      <c r="BU23" s="35"/>
      <c r="BV23" s="35"/>
      <c r="BW23" s="400">
        <v>68749.2</v>
      </c>
      <c r="BX23" s="35"/>
      <c r="BY23" s="400"/>
      <c r="BZ23" s="35"/>
      <c r="CA23" s="35"/>
      <c r="CB23" s="35"/>
      <c r="CC23" s="35"/>
      <c r="CD23" s="35"/>
      <c r="CE23" s="400"/>
      <c r="CF23" s="35"/>
      <c r="CG23" s="35"/>
      <c r="CH23" s="222">
        <f t="shared" si="0"/>
        <v>70351.399999999994</v>
      </c>
      <c r="CI23" s="405">
        <f t="shared" si="1"/>
        <v>68749.2</v>
      </c>
    </row>
    <row r="24" spans="1:87" hidden="1">
      <c r="A24" s="128" t="s">
        <v>505</v>
      </c>
      <c r="B24" s="35"/>
      <c r="C24" s="35"/>
      <c r="D24" s="35"/>
      <c r="E24" s="35"/>
      <c r="F24" s="35"/>
      <c r="G24" s="35"/>
      <c r="H24" s="35"/>
      <c r="I24" s="35"/>
      <c r="J24" s="400"/>
      <c r="K24" s="35"/>
      <c r="L24" s="400"/>
      <c r="M24" s="35"/>
      <c r="N24" s="400"/>
      <c r="O24" s="35"/>
      <c r="P24" s="400"/>
      <c r="Q24" s="35"/>
      <c r="R24" s="35"/>
      <c r="S24" s="35"/>
      <c r="T24" s="35"/>
      <c r="U24" s="35"/>
      <c r="V24" s="400"/>
      <c r="W24" s="35"/>
      <c r="X24" s="35"/>
      <c r="Y24" s="35"/>
      <c r="Z24" s="35"/>
      <c r="AA24" s="35"/>
      <c r="AB24" s="35"/>
      <c r="AC24" s="400"/>
      <c r="AD24" s="35"/>
      <c r="AE24" s="35"/>
      <c r="AF24" s="35"/>
      <c r="AG24" s="35"/>
      <c r="AH24" s="35"/>
      <c r="AI24" s="35"/>
      <c r="AJ24" s="35"/>
      <c r="AK24" s="35"/>
      <c r="AL24" s="35"/>
      <c r="AM24" s="35"/>
      <c r="AN24" s="35"/>
      <c r="AO24" s="400"/>
      <c r="AP24" s="35"/>
      <c r="AQ24" s="35"/>
      <c r="AR24" s="35"/>
      <c r="AS24" s="35"/>
      <c r="AT24" s="400"/>
      <c r="AU24" s="35"/>
      <c r="AV24" s="35"/>
      <c r="AW24" s="35"/>
      <c r="AX24" s="400"/>
      <c r="AY24" s="400"/>
      <c r="AZ24" s="35"/>
      <c r="BA24" s="35"/>
      <c r="BB24" s="400"/>
      <c r="BC24" s="400"/>
      <c r="BD24" s="400"/>
      <c r="BE24" s="400"/>
      <c r="BF24" s="400"/>
      <c r="BG24" s="400"/>
      <c r="BH24" s="400"/>
      <c r="BI24" s="400"/>
      <c r="BJ24" s="400"/>
      <c r="BK24" s="35"/>
      <c r="BL24" s="400"/>
      <c r="BM24" s="400"/>
      <c r="BN24" s="35"/>
      <c r="BO24" s="400"/>
      <c r="BP24" s="35"/>
      <c r="BQ24" s="400"/>
      <c r="BR24" s="400"/>
      <c r="BS24" s="400"/>
      <c r="BT24" s="400"/>
      <c r="BU24" s="35"/>
      <c r="BV24" s="35"/>
      <c r="BW24" s="400"/>
      <c r="BX24" s="35"/>
      <c r="BY24" s="400"/>
      <c r="BZ24" s="35"/>
      <c r="CA24" s="35"/>
      <c r="CB24" s="35"/>
      <c r="CC24" s="35"/>
      <c r="CD24" s="35"/>
      <c r="CE24" s="400"/>
      <c r="CF24" s="35"/>
      <c r="CG24" s="35"/>
      <c r="CH24" s="222">
        <f t="shared" si="0"/>
        <v>0</v>
      </c>
      <c r="CI24" s="405">
        <f t="shared" si="1"/>
        <v>0</v>
      </c>
    </row>
    <row r="25" spans="1:87">
      <c r="A25" s="128" t="s">
        <v>397</v>
      </c>
      <c r="B25" s="35"/>
      <c r="C25" s="35"/>
      <c r="D25" s="35"/>
      <c r="E25" s="35"/>
      <c r="F25" s="35"/>
      <c r="G25" s="35"/>
      <c r="H25" s="35">
        <v>75325</v>
      </c>
      <c r="I25" s="35"/>
      <c r="J25" s="400"/>
      <c r="K25" s="35"/>
      <c r="L25" s="400"/>
      <c r="M25" s="35"/>
      <c r="N25" s="400"/>
      <c r="O25" s="35"/>
      <c r="P25" s="400"/>
      <c r="Q25" s="35"/>
      <c r="R25" s="35"/>
      <c r="S25" s="35"/>
      <c r="T25" s="35"/>
      <c r="U25" s="35"/>
      <c r="V25" s="400"/>
      <c r="W25" s="35"/>
      <c r="X25" s="35"/>
      <c r="Y25" s="35"/>
      <c r="Z25" s="35"/>
      <c r="AA25" s="35"/>
      <c r="AB25" s="35"/>
      <c r="AC25" s="400"/>
      <c r="AD25" s="35"/>
      <c r="AE25" s="35"/>
      <c r="AF25" s="35"/>
      <c r="AG25" s="35"/>
      <c r="AH25" s="35"/>
      <c r="AI25" s="35"/>
      <c r="AJ25" s="35"/>
      <c r="AK25" s="35"/>
      <c r="AL25" s="35"/>
      <c r="AM25" s="35"/>
      <c r="AN25" s="35"/>
      <c r="AO25" s="400"/>
      <c r="AP25" s="35"/>
      <c r="AQ25" s="35"/>
      <c r="AR25" s="35"/>
      <c r="AS25" s="35"/>
      <c r="AT25" s="400"/>
      <c r="AU25" s="35"/>
      <c r="AV25" s="35"/>
      <c r="AW25" s="35"/>
      <c r="AX25" s="400"/>
      <c r="AY25" s="400"/>
      <c r="AZ25" s="35"/>
      <c r="BA25" s="35"/>
      <c r="BB25" s="400"/>
      <c r="BC25" s="400"/>
      <c r="BD25" s="400"/>
      <c r="BE25" s="400">
        <v>93.744</v>
      </c>
      <c r="BF25" s="400"/>
      <c r="BG25" s="400"/>
      <c r="BH25" s="400"/>
      <c r="BI25" s="400">
        <f>434.5+445.6</f>
        <v>880.1</v>
      </c>
      <c r="BJ25" s="400">
        <f>108359.3+452059.9+37618.6</f>
        <v>598037.80000000005</v>
      </c>
      <c r="BK25" s="35"/>
      <c r="BL25" s="400"/>
      <c r="BM25" s="400"/>
      <c r="BN25" s="35"/>
      <c r="BO25" s="400"/>
      <c r="BP25" s="35"/>
      <c r="BQ25" s="400"/>
      <c r="BR25" s="400"/>
      <c r="BS25" s="400"/>
      <c r="BT25" s="400"/>
      <c r="BU25" s="35"/>
      <c r="BV25" s="35"/>
      <c r="BW25" s="400"/>
      <c r="BX25" s="35"/>
      <c r="BY25" s="400"/>
      <c r="BZ25" s="35"/>
      <c r="CA25" s="35"/>
      <c r="CB25" s="35"/>
      <c r="CC25" s="35"/>
      <c r="CD25" s="35"/>
      <c r="CE25" s="400"/>
      <c r="CF25" s="35"/>
      <c r="CG25" s="35"/>
      <c r="CH25" s="222">
        <f t="shared" si="0"/>
        <v>674336.64400000009</v>
      </c>
      <c r="CI25" s="405">
        <f t="shared" si="1"/>
        <v>599011.64400000009</v>
      </c>
    </row>
    <row r="26" spans="1:87">
      <c r="A26" s="128" t="s">
        <v>398</v>
      </c>
      <c r="B26" s="35"/>
      <c r="C26" s="35"/>
      <c r="D26" s="35"/>
      <c r="E26" s="35"/>
      <c r="F26" s="35"/>
      <c r="G26" s="35"/>
      <c r="H26" s="35">
        <v>32241.5</v>
      </c>
      <c r="I26" s="35">
        <f>5.2+22297.545+1661.4</f>
        <v>23964.145</v>
      </c>
      <c r="J26" s="400">
        <f>7890.9+699.7+3906.7+857.8</f>
        <v>13355.099999999999</v>
      </c>
      <c r="K26" s="35">
        <f>38114.755+80+1305.5</f>
        <v>39500.254999999997</v>
      </c>
      <c r="L26" s="400">
        <f>7890.9+1004.3+3906.7</f>
        <v>12801.899999999998</v>
      </c>
      <c r="M26" s="35"/>
      <c r="N26" s="400"/>
      <c r="O26" s="35"/>
      <c r="P26" s="400"/>
      <c r="Q26" s="35"/>
      <c r="R26" s="35"/>
      <c r="S26" s="35"/>
      <c r="T26" s="35"/>
      <c r="U26" s="35"/>
      <c r="V26" s="400"/>
      <c r="W26" s="35"/>
      <c r="X26" s="35"/>
      <c r="Y26" s="35"/>
      <c r="Z26" s="35"/>
      <c r="AA26" s="35"/>
      <c r="AB26" s="35"/>
      <c r="AC26" s="400"/>
      <c r="AD26" s="35"/>
      <c r="AE26" s="35"/>
      <c r="AF26" s="35"/>
      <c r="AG26" s="35"/>
      <c r="AH26" s="35"/>
      <c r="AI26" s="35"/>
      <c r="AJ26" s="35"/>
      <c r="AK26" s="35"/>
      <c r="AL26" s="35"/>
      <c r="AM26" s="35"/>
      <c r="AN26" s="35"/>
      <c r="AO26" s="400"/>
      <c r="AP26" s="35"/>
      <c r="AQ26" s="35"/>
      <c r="AR26" s="35"/>
      <c r="AS26" s="35"/>
      <c r="AT26" s="400"/>
      <c r="AU26" s="35"/>
      <c r="AV26" s="35"/>
      <c r="AW26" s="35"/>
      <c r="AX26" s="400"/>
      <c r="AY26" s="400"/>
      <c r="AZ26" s="35"/>
      <c r="BA26" s="35"/>
      <c r="BB26" s="400"/>
      <c r="BC26" s="400"/>
      <c r="BD26" s="400"/>
      <c r="BE26" s="400">
        <v>969.00800000000004</v>
      </c>
      <c r="BF26" s="400"/>
      <c r="BG26" s="400">
        <v>1603</v>
      </c>
      <c r="BH26" s="400"/>
      <c r="BI26" s="400">
        <v>14508.8</v>
      </c>
      <c r="BJ26" s="400"/>
      <c r="BK26" s="35"/>
      <c r="BL26" s="400"/>
      <c r="BM26" s="400"/>
      <c r="BN26" s="35"/>
      <c r="BO26" s="400"/>
      <c r="BP26" s="35"/>
      <c r="BQ26" s="400"/>
      <c r="BR26" s="400"/>
      <c r="BS26" s="400"/>
      <c r="BT26" s="400"/>
      <c r="BU26" s="35"/>
      <c r="BV26" s="35"/>
      <c r="BW26" s="400"/>
      <c r="BX26" s="35"/>
      <c r="BY26" s="400"/>
      <c r="BZ26" s="35"/>
      <c r="CA26" s="35"/>
      <c r="CB26" s="35"/>
      <c r="CC26" s="35"/>
      <c r="CD26" s="35"/>
      <c r="CE26" s="400"/>
      <c r="CF26" s="35"/>
      <c r="CG26" s="35"/>
      <c r="CH26" s="222">
        <f t="shared" si="0"/>
        <v>138943.70799999998</v>
      </c>
      <c r="CI26" s="405">
        <f t="shared" si="1"/>
        <v>43237.807999999997</v>
      </c>
    </row>
    <row r="27" spans="1:87">
      <c r="A27" s="128" t="s">
        <v>454</v>
      </c>
      <c r="B27" s="35"/>
      <c r="C27" s="35"/>
      <c r="D27" s="35"/>
      <c r="E27" s="35"/>
      <c r="F27" s="35"/>
      <c r="G27" s="35"/>
      <c r="H27" s="35"/>
      <c r="I27" s="35"/>
      <c r="J27" s="400"/>
      <c r="K27" s="35"/>
      <c r="L27" s="400"/>
      <c r="M27" s="35">
        <f>44291.8</f>
        <v>44291.8</v>
      </c>
      <c r="N27" s="400">
        <v>2430.9</v>
      </c>
      <c r="O27" s="35"/>
      <c r="P27" s="400"/>
      <c r="Q27" s="35">
        <v>506.6</v>
      </c>
      <c r="R27" s="35"/>
      <c r="S27" s="35"/>
      <c r="T27" s="35"/>
      <c r="U27" s="35"/>
      <c r="V27" s="400"/>
      <c r="W27" s="35"/>
      <c r="X27" s="35"/>
      <c r="Y27" s="35"/>
      <c r="Z27" s="35"/>
      <c r="AA27" s="35"/>
      <c r="AB27" s="35"/>
      <c r="AC27" s="400"/>
      <c r="AD27" s="35"/>
      <c r="AE27" s="35"/>
      <c r="AF27" s="35"/>
      <c r="AG27" s="35"/>
      <c r="AH27" s="35"/>
      <c r="AI27" s="35"/>
      <c r="AJ27" s="35"/>
      <c r="AK27" s="35"/>
      <c r="AL27" s="35"/>
      <c r="AM27" s="35"/>
      <c r="AN27" s="35"/>
      <c r="AO27" s="400"/>
      <c r="AP27" s="35"/>
      <c r="AQ27" s="35"/>
      <c r="AR27" s="35"/>
      <c r="AS27" s="35"/>
      <c r="AT27" s="400"/>
      <c r="AU27" s="35"/>
      <c r="AV27" s="35"/>
      <c r="AW27" s="35"/>
      <c r="AX27" s="400"/>
      <c r="AY27" s="400"/>
      <c r="AZ27" s="35"/>
      <c r="BA27" s="35"/>
      <c r="BB27" s="400"/>
      <c r="BC27" s="400"/>
      <c r="BD27" s="400"/>
      <c r="BE27" s="400">
        <v>31.248000000000001</v>
      </c>
      <c r="BF27" s="400"/>
      <c r="BG27" s="400"/>
      <c r="BH27" s="400"/>
      <c r="BI27" s="400"/>
      <c r="BJ27" s="400"/>
      <c r="BK27" s="35"/>
      <c r="BL27" s="400"/>
      <c r="BM27" s="400"/>
      <c r="BN27" s="35"/>
      <c r="BO27" s="400"/>
      <c r="BP27" s="35"/>
      <c r="BQ27" s="400"/>
      <c r="BR27" s="400"/>
      <c r="BS27" s="400"/>
      <c r="BT27" s="400"/>
      <c r="BU27" s="35"/>
      <c r="BV27" s="35"/>
      <c r="BW27" s="400"/>
      <c r="BX27" s="35"/>
      <c r="BY27" s="400"/>
      <c r="BZ27" s="35"/>
      <c r="CA27" s="35"/>
      <c r="CB27" s="35"/>
      <c r="CC27" s="35"/>
      <c r="CD27" s="35"/>
      <c r="CE27" s="400"/>
      <c r="CF27" s="35"/>
      <c r="CG27" s="35"/>
      <c r="CH27" s="222">
        <f t="shared" si="0"/>
        <v>47260.548000000003</v>
      </c>
      <c r="CI27" s="405">
        <f t="shared" si="1"/>
        <v>2462.1480000000001</v>
      </c>
    </row>
    <row r="28" spans="1:87">
      <c r="A28" s="128" t="s">
        <v>1115</v>
      </c>
      <c r="B28" s="35"/>
      <c r="C28" s="35"/>
      <c r="D28" s="35"/>
      <c r="E28" s="35"/>
      <c r="F28" s="35"/>
      <c r="G28" s="35"/>
      <c r="H28" s="35"/>
      <c r="I28" s="35"/>
      <c r="J28" s="400"/>
      <c r="K28" s="35"/>
      <c r="L28" s="400"/>
      <c r="M28" s="35"/>
      <c r="N28" s="400"/>
      <c r="O28" s="35"/>
      <c r="P28" s="400"/>
      <c r="Q28" s="35"/>
      <c r="R28" s="35"/>
      <c r="S28" s="35"/>
      <c r="T28" s="35"/>
      <c r="U28" s="35"/>
      <c r="V28" s="400"/>
      <c r="W28" s="35"/>
      <c r="X28" s="35"/>
      <c r="Y28" s="35"/>
      <c r="Z28" s="35"/>
      <c r="AA28" s="35"/>
      <c r="AB28" s="35"/>
      <c r="AC28" s="400"/>
      <c r="AD28" s="35"/>
      <c r="AE28" s="35"/>
      <c r="AF28" s="35"/>
      <c r="AG28" s="35"/>
      <c r="AH28" s="35"/>
      <c r="AI28" s="35"/>
      <c r="AJ28" s="35"/>
      <c r="AK28" s="35"/>
      <c r="AL28" s="35"/>
      <c r="AM28" s="35"/>
      <c r="AN28" s="35"/>
      <c r="AO28" s="400">
        <v>3570</v>
      </c>
      <c r="AP28" s="35"/>
      <c r="AQ28" s="35"/>
      <c r="AR28" s="35"/>
      <c r="AS28" s="35"/>
      <c r="AT28" s="400"/>
      <c r="AU28" s="35"/>
      <c r="AV28" s="35"/>
      <c r="AW28" s="35"/>
      <c r="AX28" s="400"/>
      <c r="AY28" s="400"/>
      <c r="AZ28" s="35"/>
      <c r="BA28" s="35"/>
      <c r="BB28" s="400">
        <v>40</v>
      </c>
      <c r="BC28" s="400"/>
      <c r="BD28" s="400"/>
      <c r="BE28" s="400"/>
      <c r="BF28" s="400"/>
      <c r="BG28" s="400"/>
      <c r="BH28" s="400"/>
      <c r="BI28" s="400"/>
      <c r="BJ28" s="400"/>
      <c r="BK28" s="35"/>
      <c r="BL28" s="400"/>
      <c r="BM28" s="400"/>
      <c r="BN28" s="35"/>
      <c r="BO28" s="400"/>
      <c r="BP28" s="35"/>
      <c r="BQ28" s="400"/>
      <c r="BR28" s="400"/>
      <c r="BS28" s="400"/>
      <c r="BT28" s="400"/>
      <c r="BU28" s="35"/>
      <c r="BV28" s="35"/>
      <c r="BW28" s="400"/>
      <c r="BX28" s="35"/>
      <c r="BY28" s="400"/>
      <c r="BZ28" s="35"/>
      <c r="CA28" s="35"/>
      <c r="CB28" s="35"/>
      <c r="CC28" s="35"/>
      <c r="CD28" s="35"/>
      <c r="CE28" s="400"/>
      <c r="CF28" s="35"/>
      <c r="CG28" s="35"/>
      <c r="CH28" s="222">
        <f t="shared" si="0"/>
        <v>3610</v>
      </c>
      <c r="CI28" s="405">
        <f t="shared" si="1"/>
        <v>3610</v>
      </c>
    </row>
    <row r="29" spans="1:87">
      <c r="A29" s="128" t="s">
        <v>399</v>
      </c>
      <c r="B29" s="35"/>
      <c r="C29" s="35"/>
      <c r="D29" s="35"/>
      <c r="E29" s="35"/>
      <c r="F29" s="35"/>
      <c r="G29" s="35"/>
      <c r="H29" s="35"/>
      <c r="I29" s="35"/>
      <c r="J29" s="400"/>
      <c r="K29" s="35"/>
      <c r="L29" s="400"/>
      <c r="M29" s="35"/>
      <c r="N29" s="400"/>
      <c r="O29" s="35">
        <v>2937.5</v>
      </c>
      <c r="P29" s="400">
        <v>4729.3</v>
      </c>
      <c r="Q29" s="35"/>
      <c r="R29" s="35"/>
      <c r="S29" s="35"/>
      <c r="T29" s="35"/>
      <c r="U29" s="35"/>
      <c r="V29" s="400"/>
      <c r="W29" s="35"/>
      <c r="X29" s="35"/>
      <c r="Y29" s="35"/>
      <c r="Z29" s="35"/>
      <c r="AA29" s="35"/>
      <c r="AB29" s="35"/>
      <c r="AC29" s="400"/>
      <c r="AD29" s="35">
        <v>300</v>
      </c>
      <c r="AE29" s="35"/>
      <c r="AF29" s="35"/>
      <c r="AG29" s="35"/>
      <c r="AH29" s="35"/>
      <c r="AI29" s="35"/>
      <c r="AJ29" s="35"/>
      <c r="AK29" s="35"/>
      <c r="AL29" s="35"/>
      <c r="AM29" s="35"/>
      <c r="AN29" s="35"/>
      <c r="AO29" s="400"/>
      <c r="AP29" s="35"/>
      <c r="AQ29" s="35"/>
      <c r="AR29" s="35"/>
      <c r="AS29" s="35"/>
      <c r="AT29" s="400"/>
      <c r="AU29" s="35"/>
      <c r="AV29" s="35"/>
      <c r="AW29" s="35"/>
      <c r="AX29" s="400"/>
      <c r="AY29" s="400"/>
      <c r="AZ29" s="35"/>
      <c r="BA29" s="35"/>
      <c r="BB29" s="400"/>
      <c r="BC29" s="400"/>
      <c r="BD29" s="400"/>
      <c r="BE29" s="400"/>
      <c r="BF29" s="400"/>
      <c r="BG29" s="400"/>
      <c r="BH29" s="400"/>
      <c r="BI29" s="400"/>
      <c r="BJ29" s="400"/>
      <c r="BK29" s="35"/>
      <c r="BL29" s="400"/>
      <c r="BM29" s="400"/>
      <c r="BN29" s="35"/>
      <c r="BO29" s="400"/>
      <c r="BP29" s="35"/>
      <c r="BQ29" s="400"/>
      <c r="BR29" s="400"/>
      <c r="BS29" s="400"/>
      <c r="BT29" s="400"/>
      <c r="BU29" s="35"/>
      <c r="BV29" s="35"/>
      <c r="BW29" s="400"/>
      <c r="BX29" s="35"/>
      <c r="BY29" s="400"/>
      <c r="BZ29" s="35"/>
      <c r="CA29" s="35"/>
      <c r="CB29" s="35"/>
      <c r="CC29" s="35"/>
      <c r="CD29" s="35"/>
      <c r="CE29" s="400"/>
      <c r="CF29" s="35"/>
      <c r="CG29" s="35"/>
      <c r="CH29" s="222">
        <f t="shared" si="0"/>
        <v>7966.8</v>
      </c>
      <c r="CI29" s="405">
        <f t="shared" si="1"/>
        <v>4729.3</v>
      </c>
    </row>
    <row r="30" spans="1:87">
      <c r="A30" s="128" t="s">
        <v>400</v>
      </c>
      <c r="B30" s="35"/>
      <c r="C30" s="35"/>
      <c r="D30" s="35"/>
      <c r="E30" s="35"/>
      <c r="F30" s="35"/>
      <c r="G30" s="35"/>
      <c r="H30" s="35"/>
      <c r="I30" s="35"/>
      <c r="J30" s="400"/>
      <c r="K30" s="35"/>
      <c r="L30" s="400"/>
      <c r="M30" s="35"/>
      <c r="N30" s="400"/>
      <c r="O30" s="35"/>
      <c r="P30" s="400"/>
      <c r="Q30" s="35">
        <v>319.39999999999998</v>
      </c>
      <c r="R30" s="35"/>
      <c r="S30" s="35"/>
      <c r="T30" s="35"/>
      <c r="U30" s="35"/>
      <c r="V30" s="400"/>
      <c r="W30" s="35"/>
      <c r="X30" s="35"/>
      <c r="Y30" s="35"/>
      <c r="Z30" s="35"/>
      <c r="AA30" s="35"/>
      <c r="AB30" s="35"/>
      <c r="AC30" s="400"/>
      <c r="AD30" s="35"/>
      <c r="AE30" s="35"/>
      <c r="AF30" s="35"/>
      <c r="AG30" s="35"/>
      <c r="AH30" s="35"/>
      <c r="AI30" s="35">
        <v>5440.4</v>
      </c>
      <c r="AJ30" s="35">
        <v>11923.6</v>
      </c>
      <c r="AK30" s="35"/>
      <c r="AL30" s="35"/>
      <c r="AM30" s="35"/>
      <c r="AN30" s="35"/>
      <c r="AO30" s="400"/>
      <c r="AP30" s="35"/>
      <c r="AQ30" s="35"/>
      <c r="AR30" s="35"/>
      <c r="AS30" s="35"/>
      <c r="AT30" s="400"/>
      <c r="AU30" s="35"/>
      <c r="AV30" s="35"/>
      <c r="AW30" s="35"/>
      <c r="AX30" s="400"/>
      <c r="AY30" s="400"/>
      <c r="AZ30" s="35"/>
      <c r="BA30" s="35"/>
      <c r="BB30" s="400"/>
      <c r="BC30" s="400"/>
      <c r="BD30" s="400"/>
      <c r="BE30" s="400"/>
      <c r="BF30" s="400"/>
      <c r="BG30" s="400"/>
      <c r="BH30" s="400"/>
      <c r="BI30" s="400"/>
      <c r="BJ30" s="400"/>
      <c r="BK30" s="35"/>
      <c r="BL30" s="400"/>
      <c r="BM30" s="400"/>
      <c r="BN30" s="35"/>
      <c r="BO30" s="400"/>
      <c r="BP30" s="35"/>
      <c r="BQ30" s="400"/>
      <c r="BR30" s="400"/>
      <c r="BS30" s="400"/>
      <c r="BT30" s="400"/>
      <c r="BU30" s="35"/>
      <c r="BV30" s="35"/>
      <c r="BW30" s="400"/>
      <c r="BX30" s="35"/>
      <c r="BY30" s="400"/>
      <c r="BZ30" s="35"/>
      <c r="CA30" s="35"/>
      <c r="CB30" s="35"/>
      <c r="CC30" s="35"/>
      <c r="CD30" s="35"/>
      <c r="CE30" s="400"/>
      <c r="CF30" s="35"/>
      <c r="CG30" s="35"/>
      <c r="CH30" s="222">
        <f t="shared" si="0"/>
        <v>17683.400000000001</v>
      </c>
      <c r="CI30" s="405">
        <f t="shared" si="1"/>
        <v>0</v>
      </c>
    </row>
    <row r="31" spans="1:87" s="129" customFormat="1">
      <c r="A31" s="128" t="s">
        <v>401</v>
      </c>
      <c r="B31" s="35"/>
      <c r="C31" s="35"/>
      <c r="D31" s="35"/>
      <c r="E31" s="35"/>
      <c r="F31" s="35"/>
      <c r="G31" s="35"/>
      <c r="H31" s="35"/>
      <c r="I31" s="35"/>
      <c r="J31" s="400"/>
      <c r="K31" s="35"/>
      <c r="L31" s="400"/>
      <c r="M31" s="35"/>
      <c r="N31" s="400"/>
      <c r="O31" s="35"/>
      <c r="P31" s="400"/>
      <c r="Q31" s="35"/>
      <c r="R31" s="35"/>
      <c r="S31" s="35"/>
      <c r="T31" s="35"/>
      <c r="U31" s="35">
        <v>2634.6</v>
      </c>
      <c r="V31" s="400">
        <v>1818.4</v>
      </c>
      <c r="W31" s="35"/>
      <c r="X31" s="35"/>
      <c r="Y31" s="35"/>
      <c r="Z31" s="35"/>
      <c r="AA31" s="35"/>
      <c r="AB31" s="35"/>
      <c r="AC31" s="400"/>
      <c r="AD31" s="35"/>
      <c r="AE31" s="35">
        <v>9459.4</v>
      </c>
      <c r="AF31" s="35"/>
      <c r="AG31" s="35"/>
      <c r="AH31" s="35"/>
      <c r="AI31" s="35"/>
      <c r="AJ31" s="35"/>
      <c r="AK31" s="35"/>
      <c r="AL31" s="35"/>
      <c r="AM31" s="35"/>
      <c r="AN31" s="35"/>
      <c r="AO31" s="400"/>
      <c r="AP31" s="35"/>
      <c r="AQ31" s="35"/>
      <c r="AR31" s="35"/>
      <c r="AS31" s="35"/>
      <c r="AT31" s="400"/>
      <c r="AU31" s="35"/>
      <c r="AV31" s="35"/>
      <c r="AW31" s="35"/>
      <c r="AX31" s="400"/>
      <c r="AY31" s="400"/>
      <c r="AZ31" s="35"/>
      <c r="BA31" s="35"/>
      <c r="BB31" s="400"/>
      <c r="BC31" s="400"/>
      <c r="BD31" s="400"/>
      <c r="BE31" s="400"/>
      <c r="BF31" s="400"/>
      <c r="BG31" s="400"/>
      <c r="BH31" s="400"/>
      <c r="BI31" s="400"/>
      <c r="BJ31" s="400"/>
      <c r="BK31" s="35"/>
      <c r="BL31" s="400"/>
      <c r="BM31" s="400"/>
      <c r="BN31" s="35"/>
      <c r="BO31" s="400"/>
      <c r="BP31" s="35"/>
      <c r="BQ31" s="400"/>
      <c r="BR31" s="400"/>
      <c r="BS31" s="400"/>
      <c r="BT31" s="400"/>
      <c r="BU31" s="35"/>
      <c r="BV31" s="35"/>
      <c r="BW31" s="400"/>
      <c r="BX31" s="35"/>
      <c r="BY31" s="400"/>
      <c r="BZ31" s="35"/>
      <c r="CA31" s="35"/>
      <c r="CB31" s="35"/>
      <c r="CC31" s="35"/>
      <c r="CD31" s="35"/>
      <c r="CE31" s="400"/>
      <c r="CF31" s="35"/>
      <c r="CG31" s="35"/>
      <c r="CH31" s="222">
        <f t="shared" si="0"/>
        <v>13912.4</v>
      </c>
      <c r="CI31" s="405">
        <f t="shared" si="1"/>
        <v>1818.4</v>
      </c>
    </row>
    <row r="32" spans="1:87">
      <c r="A32" s="128" t="s">
        <v>402</v>
      </c>
      <c r="B32" s="35"/>
      <c r="C32" s="35"/>
      <c r="D32" s="35"/>
      <c r="E32" s="35"/>
      <c r="F32" s="35"/>
      <c r="G32" s="35"/>
      <c r="H32" s="35"/>
      <c r="I32" s="35"/>
      <c r="J32" s="400"/>
      <c r="K32" s="35"/>
      <c r="L32" s="400"/>
      <c r="M32" s="35"/>
      <c r="N32" s="400"/>
      <c r="O32" s="35"/>
      <c r="P32" s="400"/>
      <c r="Q32" s="35"/>
      <c r="R32" s="35"/>
      <c r="S32" s="35"/>
      <c r="T32" s="35"/>
      <c r="U32" s="35"/>
      <c r="V32" s="400"/>
      <c r="W32" s="35"/>
      <c r="X32" s="35"/>
      <c r="Y32" s="35"/>
      <c r="Z32" s="35"/>
      <c r="AA32" s="35"/>
      <c r="AB32" s="35"/>
      <c r="AC32" s="400"/>
      <c r="AD32" s="35"/>
      <c r="AE32" s="35"/>
      <c r="AF32" s="35"/>
      <c r="AG32" s="35"/>
      <c r="AH32" s="35"/>
      <c r="AI32" s="35">
        <f>3132.4+50.2</f>
        <v>3182.6</v>
      </c>
      <c r="AJ32" s="35">
        <v>6880.9</v>
      </c>
      <c r="AK32" s="35"/>
      <c r="AL32" s="35"/>
      <c r="AM32" s="35"/>
      <c r="AN32" s="35"/>
      <c r="AO32" s="400"/>
      <c r="AP32" s="35"/>
      <c r="AQ32" s="35"/>
      <c r="AR32" s="35"/>
      <c r="AS32" s="35"/>
      <c r="AT32" s="400"/>
      <c r="AU32" s="35"/>
      <c r="AV32" s="35"/>
      <c r="AW32" s="35"/>
      <c r="AX32" s="400"/>
      <c r="AY32" s="400"/>
      <c r="AZ32" s="35"/>
      <c r="BA32" s="35"/>
      <c r="BB32" s="400"/>
      <c r="BC32" s="400"/>
      <c r="BD32" s="400"/>
      <c r="BE32" s="400"/>
      <c r="BF32" s="400"/>
      <c r="BG32" s="400"/>
      <c r="BH32" s="400"/>
      <c r="BI32" s="400"/>
      <c r="BJ32" s="400"/>
      <c r="BK32" s="35"/>
      <c r="BL32" s="400"/>
      <c r="BM32" s="400"/>
      <c r="BN32" s="35"/>
      <c r="BO32" s="400"/>
      <c r="BP32" s="35"/>
      <c r="BQ32" s="400"/>
      <c r="BR32" s="400"/>
      <c r="BS32" s="400"/>
      <c r="BT32" s="400"/>
      <c r="BU32" s="35"/>
      <c r="BV32" s="35"/>
      <c r="BW32" s="400"/>
      <c r="BX32" s="35"/>
      <c r="BY32" s="400"/>
      <c r="BZ32" s="35"/>
      <c r="CA32" s="35"/>
      <c r="CB32" s="35"/>
      <c r="CC32" s="35"/>
      <c r="CD32" s="35"/>
      <c r="CE32" s="400"/>
      <c r="CF32" s="35"/>
      <c r="CG32" s="35"/>
      <c r="CH32" s="222">
        <f t="shared" si="0"/>
        <v>10063.5</v>
      </c>
      <c r="CI32" s="405">
        <f t="shared" si="1"/>
        <v>0</v>
      </c>
    </row>
    <row r="33" spans="1:88">
      <c r="A33" s="128" t="s">
        <v>403</v>
      </c>
      <c r="B33" s="35"/>
      <c r="C33" s="35"/>
      <c r="D33" s="35"/>
      <c r="E33" s="35"/>
      <c r="F33" s="35"/>
      <c r="G33" s="35"/>
      <c r="H33" s="35"/>
      <c r="I33" s="35"/>
      <c r="J33" s="400"/>
      <c r="K33" s="35"/>
      <c r="L33" s="400"/>
      <c r="M33" s="35"/>
      <c r="N33" s="400"/>
      <c r="O33" s="35"/>
      <c r="P33" s="400"/>
      <c r="Q33" s="35"/>
      <c r="R33" s="35"/>
      <c r="S33" s="35"/>
      <c r="T33" s="35"/>
      <c r="U33" s="35"/>
      <c r="V33" s="400"/>
      <c r="W33" s="35"/>
      <c r="X33" s="35"/>
      <c r="Y33" s="35"/>
      <c r="Z33" s="35"/>
      <c r="AA33" s="35"/>
      <c r="AB33" s="35"/>
      <c r="AC33" s="400"/>
      <c r="AD33" s="35"/>
      <c r="AE33" s="35"/>
      <c r="AF33" s="35"/>
      <c r="AG33" s="35"/>
      <c r="AH33" s="35"/>
      <c r="AI33" s="35"/>
      <c r="AJ33" s="35"/>
      <c r="AK33" s="35"/>
      <c r="AL33" s="35"/>
      <c r="AM33" s="35"/>
      <c r="AN33" s="35"/>
      <c r="AO33" s="400"/>
      <c r="AP33" s="35"/>
      <c r="AQ33" s="35"/>
      <c r="AR33" s="35"/>
      <c r="AS33" s="35">
        <f>200+300+2497.5</f>
        <v>2997.5</v>
      </c>
      <c r="AT33" s="400">
        <v>1500</v>
      </c>
      <c r="AU33" s="35"/>
      <c r="AV33" s="35"/>
      <c r="AW33" s="35"/>
      <c r="AX33" s="400"/>
      <c r="AY33" s="400"/>
      <c r="AZ33" s="35"/>
      <c r="BA33" s="35"/>
      <c r="BB33" s="400"/>
      <c r="BC33" s="400"/>
      <c r="BD33" s="400"/>
      <c r="BE33" s="400"/>
      <c r="BF33" s="400"/>
      <c r="BG33" s="400"/>
      <c r="BH33" s="400"/>
      <c r="BI33" s="400"/>
      <c r="BJ33" s="400"/>
      <c r="BK33" s="35"/>
      <c r="BL33" s="400"/>
      <c r="BM33" s="400"/>
      <c r="BN33" s="35"/>
      <c r="BO33" s="400"/>
      <c r="BP33" s="35"/>
      <c r="BQ33" s="400"/>
      <c r="BR33" s="400"/>
      <c r="BS33" s="400"/>
      <c r="BT33" s="400"/>
      <c r="BU33" s="35"/>
      <c r="BV33" s="35"/>
      <c r="BW33" s="400"/>
      <c r="BX33" s="35"/>
      <c r="BY33" s="400"/>
      <c r="BZ33" s="35"/>
      <c r="CA33" s="35"/>
      <c r="CB33" s="35"/>
      <c r="CC33" s="35"/>
      <c r="CD33" s="35"/>
      <c r="CE33" s="400"/>
      <c r="CF33" s="35"/>
      <c r="CG33" s="35"/>
      <c r="CH33" s="222">
        <f t="shared" si="0"/>
        <v>4497.5</v>
      </c>
      <c r="CI33" s="405">
        <f t="shared" si="1"/>
        <v>1500</v>
      </c>
    </row>
    <row r="34" spans="1:88">
      <c r="A34" s="128" t="s">
        <v>385</v>
      </c>
      <c r="B34" s="35"/>
      <c r="C34" s="35"/>
      <c r="D34" s="35"/>
      <c r="E34" s="35"/>
      <c r="F34" s="35"/>
      <c r="G34" s="35"/>
      <c r="H34" s="35"/>
      <c r="I34" s="35"/>
      <c r="J34" s="400"/>
      <c r="K34" s="35"/>
      <c r="L34" s="400"/>
      <c r="M34" s="35"/>
      <c r="N34" s="400"/>
      <c r="O34" s="35"/>
      <c r="P34" s="400"/>
      <c r="Q34" s="35"/>
      <c r="R34" s="35"/>
      <c r="S34" s="35"/>
      <c r="T34" s="35"/>
      <c r="U34" s="35"/>
      <c r="V34" s="400"/>
      <c r="W34" s="35"/>
      <c r="X34" s="35"/>
      <c r="Y34" s="35"/>
      <c r="Z34" s="35"/>
      <c r="AA34" s="35"/>
      <c r="AB34" s="35"/>
      <c r="AC34" s="400"/>
      <c r="AD34" s="35"/>
      <c r="AE34" s="35"/>
      <c r="AF34" s="35"/>
      <c r="AG34" s="35"/>
      <c r="AH34" s="35"/>
      <c r="AI34" s="35"/>
      <c r="AJ34" s="35"/>
      <c r="AK34" s="35"/>
      <c r="AL34" s="35"/>
      <c r="AM34" s="35"/>
      <c r="AN34" s="35"/>
      <c r="AO34" s="400"/>
      <c r="AP34" s="35"/>
      <c r="AQ34" s="35"/>
      <c r="AR34" s="35"/>
      <c r="AS34" s="35"/>
      <c r="AT34" s="400"/>
      <c r="AU34" s="35"/>
      <c r="AV34" s="35"/>
      <c r="AW34" s="35"/>
      <c r="AX34" s="400"/>
      <c r="AY34" s="400">
        <v>1043.5</v>
      </c>
      <c r="AZ34" s="35"/>
      <c r="BA34" s="35"/>
      <c r="BB34" s="400"/>
      <c r="BC34" s="400"/>
      <c r="BD34" s="400"/>
      <c r="BE34" s="400"/>
      <c r="BF34" s="400">
        <v>252.24100000000001</v>
      </c>
      <c r="BG34" s="400">
        <f>115+25707+15288+84</f>
        <v>41194</v>
      </c>
      <c r="BH34" s="400"/>
      <c r="BI34" s="400"/>
      <c r="BJ34" s="400"/>
      <c r="BK34" s="35"/>
      <c r="BL34" s="400"/>
      <c r="BM34" s="400"/>
      <c r="BN34" s="35"/>
      <c r="BO34" s="400">
        <v>8069.3590000000004</v>
      </c>
      <c r="BP34" s="35"/>
      <c r="BQ34" s="400"/>
      <c r="BR34" s="400"/>
      <c r="BS34" s="400"/>
      <c r="BT34" s="400"/>
      <c r="BU34" s="35"/>
      <c r="BV34" s="35"/>
      <c r="BW34" s="400"/>
      <c r="BX34" s="35"/>
      <c r="BY34" s="400"/>
      <c r="BZ34" s="35"/>
      <c r="CA34" s="35"/>
      <c r="CB34" s="35"/>
      <c r="CC34" s="35"/>
      <c r="CD34" s="35"/>
      <c r="CE34" s="400"/>
      <c r="CF34" s="35"/>
      <c r="CG34" s="35"/>
      <c r="CH34" s="222">
        <f t="shared" si="0"/>
        <v>50559.100000000006</v>
      </c>
      <c r="CI34" s="405">
        <f t="shared" si="1"/>
        <v>50559.100000000006</v>
      </c>
    </row>
    <row r="35" spans="1:88">
      <c r="A35" s="128" t="s">
        <v>393</v>
      </c>
      <c r="B35" s="35"/>
      <c r="C35" s="35"/>
      <c r="D35" s="35"/>
      <c r="E35" s="35"/>
      <c r="F35" s="35"/>
      <c r="G35" s="35"/>
      <c r="H35" s="35"/>
      <c r="I35" s="35"/>
      <c r="J35" s="400"/>
      <c r="K35" s="35"/>
      <c r="L35" s="400"/>
      <c r="M35" s="35"/>
      <c r="N35" s="400"/>
      <c r="O35" s="35"/>
      <c r="P35" s="400"/>
      <c r="Q35" s="35"/>
      <c r="R35" s="35"/>
      <c r="S35" s="35"/>
      <c r="T35" s="35"/>
      <c r="U35" s="35"/>
      <c r="V35" s="400"/>
      <c r="W35" s="35"/>
      <c r="X35" s="35"/>
      <c r="Y35" s="35"/>
      <c r="Z35" s="35"/>
      <c r="AA35" s="35"/>
      <c r="AB35" s="35"/>
      <c r="AC35" s="400"/>
      <c r="AD35" s="35"/>
      <c r="AE35" s="35"/>
      <c r="AF35" s="35"/>
      <c r="AG35" s="35"/>
      <c r="AH35" s="35"/>
      <c r="AI35" s="35"/>
      <c r="AJ35" s="35"/>
      <c r="AK35" s="35"/>
      <c r="AL35" s="35"/>
      <c r="AM35" s="35"/>
      <c r="AN35" s="35"/>
      <c r="AO35" s="400"/>
      <c r="AP35" s="35"/>
      <c r="AQ35" s="35"/>
      <c r="AR35" s="35"/>
      <c r="AS35" s="35">
        <v>2.8</v>
      </c>
      <c r="AT35" s="400"/>
      <c r="AU35" s="35"/>
      <c r="AV35" s="35"/>
      <c r="AW35" s="35"/>
      <c r="AX35" s="400"/>
      <c r="AY35" s="400"/>
      <c r="AZ35" s="35"/>
      <c r="BA35" s="35"/>
      <c r="BB35" s="400">
        <f>1.8+19.4</f>
        <v>21.2</v>
      </c>
      <c r="BC35" s="400">
        <v>13.545</v>
      </c>
      <c r="BD35" s="400"/>
      <c r="BE35" s="400"/>
      <c r="BF35" s="400"/>
      <c r="BG35" s="400"/>
      <c r="BH35" s="400"/>
      <c r="BI35" s="400"/>
      <c r="BJ35" s="400"/>
      <c r="BK35" s="35"/>
      <c r="BL35" s="400"/>
      <c r="BM35" s="400"/>
      <c r="BN35" s="35"/>
      <c r="BO35" s="400"/>
      <c r="BP35" s="35"/>
      <c r="BQ35" s="400"/>
      <c r="BR35" s="400"/>
      <c r="BS35" s="400"/>
      <c r="BT35" s="400"/>
      <c r="BU35" s="35"/>
      <c r="BV35" s="35"/>
      <c r="BW35" s="400"/>
      <c r="BX35" s="35"/>
      <c r="BY35" s="400"/>
      <c r="BZ35" s="35"/>
      <c r="CA35" s="35"/>
      <c r="CB35" s="35"/>
      <c r="CC35" s="35"/>
      <c r="CD35" s="35"/>
      <c r="CE35" s="400"/>
      <c r="CF35" s="35"/>
      <c r="CG35" s="35"/>
      <c r="CH35" s="222">
        <f t="shared" si="0"/>
        <v>37.545000000000002</v>
      </c>
      <c r="CI35" s="405">
        <f t="shared" si="1"/>
        <v>34.744999999999997</v>
      </c>
    </row>
    <row r="36" spans="1:88">
      <c r="A36" s="128" t="s">
        <v>378</v>
      </c>
      <c r="B36" s="35"/>
      <c r="C36" s="35"/>
      <c r="D36" s="35"/>
      <c r="E36" s="35"/>
      <c r="F36" s="35"/>
      <c r="G36" s="35"/>
      <c r="H36" s="35"/>
      <c r="I36" s="35"/>
      <c r="J36" s="400"/>
      <c r="K36" s="35"/>
      <c r="L36" s="400"/>
      <c r="M36" s="35"/>
      <c r="N36" s="400"/>
      <c r="O36" s="35"/>
      <c r="P36" s="400"/>
      <c r="Q36" s="35"/>
      <c r="R36" s="35"/>
      <c r="S36" s="35"/>
      <c r="T36" s="35"/>
      <c r="U36" s="35"/>
      <c r="V36" s="400"/>
      <c r="W36" s="35"/>
      <c r="X36" s="35"/>
      <c r="Y36" s="35"/>
      <c r="Z36" s="35"/>
      <c r="AA36" s="35">
        <v>4768.5</v>
      </c>
      <c r="AB36" s="35"/>
      <c r="AC36" s="400"/>
      <c r="AD36" s="35"/>
      <c r="AE36" s="35"/>
      <c r="AF36" s="35"/>
      <c r="AG36" s="35"/>
      <c r="AH36" s="35"/>
      <c r="AI36" s="35"/>
      <c r="AJ36" s="35"/>
      <c r="AK36" s="35"/>
      <c r="AL36" s="35"/>
      <c r="AM36" s="35"/>
      <c r="AN36" s="35"/>
      <c r="AO36" s="400"/>
      <c r="AP36" s="35"/>
      <c r="AQ36" s="35"/>
      <c r="AR36" s="35"/>
      <c r="AS36" s="35"/>
      <c r="AT36" s="400"/>
      <c r="AU36" s="35"/>
      <c r="AV36" s="35"/>
      <c r="AW36" s="35"/>
      <c r="AX36" s="400"/>
      <c r="AY36" s="400"/>
      <c r="AZ36" s="35"/>
      <c r="BA36" s="35"/>
      <c r="BB36" s="400"/>
      <c r="BC36" s="400"/>
      <c r="BD36" s="400"/>
      <c r="BE36" s="400"/>
      <c r="BF36" s="400"/>
      <c r="BG36" s="400"/>
      <c r="BH36" s="400"/>
      <c r="BI36" s="400"/>
      <c r="BJ36" s="400"/>
      <c r="BK36" s="35"/>
      <c r="BL36" s="400"/>
      <c r="BM36" s="400"/>
      <c r="BN36" s="35"/>
      <c r="BO36" s="400"/>
      <c r="BP36" s="35"/>
      <c r="BQ36" s="400"/>
      <c r="BR36" s="400"/>
      <c r="BS36" s="400"/>
      <c r="BT36" s="400"/>
      <c r="BU36" s="35"/>
      <c r="BV36" s="35"/>
      <c r="BW36" s="400"/>
      <c r="BX36" s="35"/>
      <c r="BY36" s="400">
        <v>7210.6</v>
      </c>
      <c r="BZ36" s="35"/>
      <c r="CA36" s="35"/>
      <c r="CB36" s="35"/>
      <c r="CC36" s="35"/>
      <c r="CD36" s="35"/>
      <c r="CE36" s="400"/>
      <c r="CF36" s="35"/>
      <c r="CG36" s="35"/>
      <c r="CH36" s="222">
        <f t="shared" si="0"/>
        <v>11979.1</v>
      </c>
      <c r="CI36" s="405">
        <f t="shared" si="1"/>
        <v>7210.6</v>
      </c>
    </row>
    <row r="37" spans="1:88">
      <c r="A37" s="128" t="s">
        <v>404</v>
      </c>
      <c r="B37" s="35"/>
      <c r="C37" s="35"/>
      <c r="D37" s="35"/>
      <c r="E37" s="35"/>
      <c r="F37" s="35"/>
      <c r="G37" s="35"/>
      <c r="H37" s="35"/>
      <c r="I37" s="35"/>
      <c r="J37" s="400"/>
      <c r="K37" s="35"/>
      <c r="L37" s="400"/>
      <c r="M37" s="35"/>
      <c r="N37" s="400"/>
      <c r="O37" s="35"/>
      <c r="P37" s="400"/>
      <c r="Q37" s="35"/>
      <c r="R37" s="35"/>
      <c r="S37" s="35"/>
      <c r="T37" s="35"/>
      <c r="U37" s="35"/>
      <c r="V37" s="400"/>
      <c r="W37" s="35"/>
      <c r="X37" s="35"/>
      <c r="Y37" s="35"/>
      <c r="Z37" s="35"/>
      <c r="AA37" s="35"/>
      <c r="AB37" s="35">
        <v>3299</v>
      </c>
      <c r="AC37" s="400">
        <f>131566.2+900</f>
        <v>132466.20000000001</v>
      </c>
      <c r="AD37" s="35"/>
      <c r="AE37" s="35"/>
      <c r="AF37" s="35"/>
      <c r="AG37" s="35"/>
      <c r="AH37" s="35"/>
      <c r="AI37" s="35"/>
      <c r="AJ37" s="35"/>
      <c r="AK37" s="35"/>
      <c r="AL37" s="35"/>
      <c r="AM37" s="35"/>
      <c r="AN37" s="35"/>
      <c r="AO37" s="400"/>
      <c r="AP37" s="35"/>
      <c r="AQ37" s="35"/>
      <c r="AR37" s="35"/>
      <c r="AS37" s="35"/>
      <c r="AT37" s="400"/>
      <c r="AU37" s="35"/>
      <c r="AV37" s="35"/>
      <c r="AW37" s="35"/>
      <c r="AX37" s="400"/>
      <c r="AY37" s="400"/>
      <c r="AZ37" s="35"/>
      <c r="BA37" s="35"/>
      <c r="BB37" s="400"/>
      <c r="BC37" s="400"/>
      <c r="BD37" s="400"/>
      <c r="BE37" s="400"/>
      <c r="BF37" s="400"/>
      <c r="BG37" s="400"/>
      <c r="BH37" s="400"/>
      <c r="BI37" s="400"/>
      <c r="BJ37" s="400"/>
      <c r="BK37" s="35"/>
      <c r="BL37" s="400"/>
      <c r="BM37" s="400"/>
      <c r="BN37" s="35"/>
      <c r="BO37" s="400"/>
      <c r="BP37" s="35"/>
      <c r="BQ37" s="400"/>
      <c r="BR37" s="400"/>
      <c r="BS37" s="400"/>
      <c r="BT37" s="400"/>
      <c r="BU37" s="35"/>
      <c r="BV37" s="35"/>
      <c r="BW37" s="400"/>
      <c r="BX37" s="35"/>
      <c r="BY37" s="400"/>
      <c r="BZ37" s="35"/>
      <c r="CA37" s="35"/>
      <c r="CB37" s="35"/>
      <c r="CC37" s="35"/>
      <c r="CD37" s="35"/>
      <c r="CE37" s="400"/>
      <c r="CF37" s="35"/>
      <c r="CG37" s="35"/>
      <c r="CH37" s="222">
        <f t="shared" si="0"/>
        <v>135765.20000000001</v>
      </c>
      <c r="CI37" s="405">
        <f t="shared" si="1"/>
        <v>132466.20000000001</v>
      </c>
    </row>
    <row r="38" spans="1:88" ht="12.75" customHeight="1">
      <c r="A38" s="128" t="s">
        <v>47</v>
      </c>
      <c r="B38" s="35"/>
      <c r="C38" s="35"/>
      <c r="D38" s="35"/>
      <c r="E38" s="35"/>
      <c r="F38" s="35"/>
      <c r="G38" s="35"/>
      <c r="H38" s="35"/>
      <c r="I38" s="35"/>
      <c r="J38" s="400"/>
      <c r="K38" s="35"/>
      <c r="L38" s="400"/>
      <c r="M38" s="35"/>
      <c r="N38" s="400"/>
      <c r="O38" s="35"/>
      <c r="P38" s="400"/>
      <c r="Q38" s="35"/>
      <c r="R38" s="35"/>
      <c r="S38" s="35"/>
      <c r="T38" s="35"/>
      <c r="U38" s="35"/>
      <c r="V38" s="400"/>
      <c r="W38" s="35"/>
      <c r="X38" s="35"/>
      <c r="Y38" s="35"/>
      <c r="Z38" s="35"/>
      <c r="AA38" s="35"/>
      <c r="AB38" s="35">
        <v>13.2</v>
      </c>
      <c r="AC38" s="400">
        <v>209.2</v>
      </c>
      <c r="AD38" s="35"/>
      <c r="AE38" s="35"/>
      <c r="AF38" s="35"/>
      <c r="AG38" s="35"/>
      <c r="AH38" s="35"/>
      <c r="AI38" s="35"/>
      <c r="AJ38" s="35"/>
      <c r="AK38" s="35"/>
      <c r="AL38" s="35"/>
      <c r="AM38" s="35"/>
      <c r="AN38" s="35"/>
      <c r="AO38" s="400"/>
      <c r="AP38" s="35"/>
      <c r="AQ38" s="35"/>
      <c r="AR38" s="35"/>
      <c r="AS38" s="35"/>
      <c r="AT38" s="400"/>
      <c r="AU38" s="35"/>
      <c r="AV38" s="35"/>
      <c r="AW38" s="35"/>
      <c r="AX38" s="400"/>
      <c r="AY38" s="400"/>
      <c r="AZ38" s="35"/>
      <c r="BA38" s="35"/>
      <c r="BB38" s="400"/>
      <c r="BC38" s="400"/>
      <c r="BD38" s="400"/>
      <c r="BE38" s="400"/>
      <c r="BF38" s="400"/>
      <c r="BG38" s="400"/>
      <c r="BH38" s="400"/>
      <c r="BI38" s="400"/>
      <c r="BJ38" s="400"/>
      <c r="BK38" s="35"/>
      <c r="BL38" s="400"/>
      <c r="BM38" s="400"/>
      <c r="BN38" s="35"/>
      <c r="BO38" s="400"/>
      <c r="BP38" s="35"/>
      <c r="BQ38" s="400"/>
      <c r="BR38" s="400"/>
      <c r="BS38" s="400"/>
      <c r="BT38" s="400"/>
      <c r="BU38" s="35"/>
      <c r="BV38" s="35"/>
      <c r="BW38" s="400"/>
      <c r="BX38" s="35"/>
      <c r="BY38" s="400"/>
      <c r="BZ38" s="35"/>
      <c r="CA38" s="35"/>
      <c r="CB38" s="35"/>
      <c r="CC38" s="35"/>
      <c r="CD38" s="35"/>
      <c r="CE38" s="400"/>
      <c r="CF38" s="35"/>
      <c r="CG38" s="35"/>
      <c r="CH38" s="222">
        <f t="shared" si="0"/>
        <v>222.39999999999998</v>
      </c>
      <c r="CI38" s="405">
        <f t="shared" si="1"/>
        <v>209.2</v>
      </c>
    </row>
    <row r="39" spans="1:88">
      <c r="A39" s="128" t="s">
        <v>405</v>
      </c>
      <c r="B39" s="35"/>
      <c r="C39" s="35"/>
      <c r="D39" s="35"/>
      <c r="E39" s="35"/>
      <c r="F39" s="35"/>
      <c r="G39" s="35"/>
      <c r="H39" s="35"/>
      <c r="I39" s="35"/>
      <c r="J39" s="400"/>
      <c r="K39" s="35"/>
      <c r="L39" s="400"/>
      <c r="M39" s="35"/>
      <c r="N39" s="400"/>
      <c r="O39" s="35"/>
      <c r="P39" s="400"/>
      <c r="Q39" s="35"/>
      <c r="R39" s="35"/>
      <c r="S39" s="35"/>
      <c r="T39" s="35"/>
      <c r="U39" s="35"/>
      <c r="V39" s="400"/>
      <c r="W39" s="35"/>
      <c r="X39" s="35"/>
      <c r="Y39" s="35"/>
      <c r="Z39" s="35"/>
      <c r="AA39" s="35"/>
      <c r="AB39" s="35"/>
      <c r="AC39" s="400"/>
      <c r="AD39" s="35"/>
      <c r="AE39" s="35"/>
      <c r="AF39" s="35"/>
      <c r="AG39" s="35"/>
      <c r="AH39" s="35"/>
      <c r="AI39" s="35"/>
      <c r="AJ39" s="35"/>
      <c r="AK39" s="35">
        <v>70.099999999999994</v>
      </c>
      <c r="AL39" s="35"/>
      <c r="AM39" s="35"/>
      <c r="AN39" s="35"/>
      <c r="AO39" s="400"/>
      <c r="AP39" s="35"/>
      <c r="AQ39" s="35"/>
      <c r="AR39" s="35"/>
      <c r="AS39" s="35"/>
      <c r="AT39" s="400"/>
      <c r="AU39" s="35"/>
      <c r="AV39" s="35"/>
      <c r="AW39" s="35"/>
      <c r="AX39" s="400"/>
      <c r="AY39" s="400"/>
      <c r="AZ39" s="35"/>
      <c r="BA39" s="35"/>
      <c r="BB39" s="400"/>
      <c r="BC39" s="400"/>
      <c r="BD39" s="400"/>
      <c r="BE39" s="400"/>
      <c r="BF39" s="400"/>
      <c r="BG39" s="400"/>
      <c r="BH39" s="400"/>
      <c r="BI39" s="400"/>
      <c r="BJ39" s="400"/>
      <c r="BK39" s="35"/>
      <c r="BL39" s="400"/>
      <c r="BM39" s="400"/>
      <c r="BN39" s="35"/>
      <c r="BO39" s="400"/>
      <c r="BP39" s="35"/>
      <c r="BQ39" s="400"/>
      <c r="BR39" s="400"/>
      <c r="BS39" s="400"/>
      <c r="BT39" s="400"/>
      <c r="BU39" s="35"/>
      <c r="BV39" s="35"/>
      <c r="BW39" s="400"/>
      <c r="BX39" s="35"/>
      <c r="BY39" s="400"/>
      <c r="BZ39" s="35"/>
      <c r="CA39" s="35"/>
      <c r="CB39" s="35"/>
      <c r="CC39" s="35"/>
      <c r="CD39" s="35"/>
      <c r="CE39" s="400"/>
      <c r="CF39" s="35"/>
      <c r="CG39" s="35"/>
      <c r="CH39" s="222">
        <f t="shared" si="0"/>
        <v>70.099999999999994</v>
      </c>
      <c r="CI39" s="405">
        <f t="shared" si="1"/>
        <v>0</v>
      </c>
    </row>
    <row r="40" spans="1:88">
      <c r="A40" s="128" t="s">
        <v>50</v>
      </c>
      <c r="B40" s="35"/>
      <c r="C40" s="35"/>
      <c r="D40" s="35"/>
      <c r="E40" s="35"/>
      <c r="F40" s="35"/>
      <c r="G40" s="35"/>
      <c r="H40" s="35"/>
      <c r="I40" s="35"/>
      <c r="J40" s="400"/>
      <c r="K40" s="35"/>
      <c r="L40" s="400"/>
      <c r="M40" s="35"/>
      <c r="N40" s="400"/>
      <c r="O40" s="35"/>
      <c r="P40" s="400"/>
      <c r="Q40" s="35"/>
      <c r="R40" s="35"/>
      <c r="S40" s="35"/>
      <c r="T40" s="35"/>
      <c r="U40" s="35"/>
      <c r="V40" s="400"/>
      <c r="W40" s="35"/>
      <c r="X40" s="35"/>
      <c r="Y40" s="35"/>
      <c r="Z40" s="35"/>
      <c r="AA40" s="35"/>
      <c r="AB40" s="35"/>
      <c r="AC40" s="400"/>
      <c r="AD40" s="35"/>
      <c r="AE40" s="35"/>
      <c r="AF40" s="35"/>
      <c r="AG40" s="35"/>
      <c r="AH40" s="35"/>
      <c r="AI40" s="35"/>
      <c r="AJ40" s="35"/>
      <c r="AK40" s="35"/>
      <c r="AL40" s="35"/>
      <c r="AM40" s="35"/>
      <c r="AN40" s="35"/>
      <c r="AO40" s="400"/>
      <c r="AP40" s="35"/>
      <c r="AQ40" s="35"/>
      <c r="AR40" s="35"/>
      <c r="AS40" s="35"/>
      <c r="AT40" s="400"/>
      <c r="AU40" s="35"/>
      <c r="AV40" s="35"/>
      <c r="AW40" s="35"/>
      <c r="AX40" s="400"/>
      <c r="AY40" s="400"/>
      <c r="AZ40" s="35"/>
      <c r="BA40" s="35"/>
      <c r="BB40" s="400"/>
      <c r="BC40" s="400"/>
      <c r="BD40" s="400"/>
      <c r="BE40" s="400"/>
      <c r="BF40" s="400"/>
      <c r="BG40" s="400"/>
      <c r="BH40" s="400"/>
      <c r="BI40" s="400"/>
      <c r="BJ40" s="400"/>
      <c r="BK40" s="35">
        <v>11083.2</v>
      </c>
      <c r="BL40" s="400">
        <v>49804.800000000003</v>
      </c>
      <c r="BM40" s="400"/>
      <c r="BN40" s="35"/>
      <c r="BO40" s="400"/>
      <c r="BP40" s="35"/>
      <c r="BQ40" s="400"/>
      <c r="BR40" s="400"/>
      <c r="BS40" s="400"/>
      <c r="BT40" s="400"/>
      <c r="BU40" s="35"/>
      <c r="BV40" s="35"/>
      <c r="BW40" s="400"/>
      <c r="BX40" s="35"/>
      <c r="BY40" s="400"/>
      <c r="BZ40" s="35"/>
      <c r="CA40" s="35"/>
      <c r="CB40" s="35"/>
      <c r="CC40" s="35"/>
      <c r="CD40" s="35"/>
      <c r="CE40" s="400"/>
      <c r="CF40" s="35"/>
      <c r="CG40" s="35"/>
      <c r="CH40" s="222">
        <f t="shared" si="0"/>
        <v>60888</v>
      </c>
      <c r="CI40" s="405">
        <f t="shared" si="1"/>
        <v>49804.800000000003</v>
      </c>
    </row>
    <row r="41" spans="1:88">
      <c r="A41" s="128" t="s">
        <v>51</v>
      </c>
      <c r="B41" s="35"/>
      <c r="C41" s="35"/>
      <c r="D41" s="35"/>
      <c r="E41" s="35"/>
      <c r="F41" s="35"/>
      <c r="G41" s="35"/>
      <c r="H41" s="35"/>
      <c r="I41" s="35"/>
      <c r="J41" s="400"/>
      <c r="K41" s="35"/>
      <c r="L41" s="400"/>
      <c r="M41" s="35"/>
      <c r="N41" s="400"/>
      <c r="O41" s="35"/>
      <c r="P41" s="400"/>
      <c r="Q41" s="35"/>
      <c r="R41" s="35"/>
      <c r="S41" s="35"/>
      <c r="T41" s="35"/>
      <c r="U41" s="35"/>
      <c r="V41" s="400"/>
      <c r="W41" s="35"/>
      <c r="X41" s="35"/>
      <c r="Y41" s="35"/>
      <c r="Z41" s="35"/>
      <c r="AA41" s="35"/>
      <c r="AB41" s="35"/>
      <c r="AC41" s="400"/>
      <c r="AD41" s="35"/>
      <c r="AE41" s="35"/>
      <c r="AF41" s="35"/>
      <c r="AG41" s="35"/>
      <c r="AH41" s="35"/>
      <c r="AI41" s="35"/>
      <c r="AJ41" s="35"/>
      <c r="AK41" s="35"/>
      <c r="AL41" s="35"/>
      <c r="AM41" s="35"/>
      <c r="AN41" s="35"/>
      <c r="AO41" s="400"/>
      <c r="AP41" s="35"/>
      <c r="AQ41" s="35"/>
      <c r="AR41" s="35"/>
      <c r="AS41" s="35"/>
      <c r="AT41" s="400"/>
      <c r="AU41" s="35"/>
      <c r="AV41" s="35"/>
      <c r="AW41" s="35"/>
      <c r="AX41" s="400"/>
      <c r="AY41" s="400"/>
      <c r="AZ41" s="35"/>
      <c r="BA41" s="35"/>
      <c r="BB41" s="400"/>
      <c r="BC41" s="400"/>
      <c r="BD41" s="400"/>
      <c r="BE41" s="400"/>
      <c r="BF41" s="400"/>
      <c r="BG41" s="400"/>
      <c r="BH41" s="400"/>
      <c r="BI41" s="400"/>
      <c r="BJ41" s="400"/>
      <c r="BK41" s="35"/>
      <c r="BL41" s="400"/>
      <c r="BM41" s="400"/>
      <c r="BN41" s="35"/>
      <c r="BO41" s="400"/>
      <c r="BP41" s="35"/>
      <c r="BQ41" s="400"/>
      <c r="BR41" s="400"/>
      <c r="BS41" s="400"/>
      <c r="BT41" s="400"/>
      <c r="BU41" s="35"/>
      <c r="BV41" s="35"/>
      <c r="BW41" s="400"/>
      <c r="BX41" s="35"/>
      <c r="BY41" s="400"/>
      <c r="BZ41" s="35"/>
      <c r="CA41" s="35"/>
      <c r="CB41" s="35"/>
      <c r="CC41" s="35"/>
      <c r="CD41" s="35"/>
      <c r="CE41" s="400"/>
      <c r="CF41" s="35">
        <v>61511.5</v>
      </c>
      <c r="CG41" s="35"/>
      <c r="CH41" s="222">
        <f t="shared" si="0"/>
        <v>61511.5</v>
      </c>
      <c r="CI41" s="405">
        <f t="shared" si="1"/>
        <v>0</v>
      </c>
    </row>
    <row r="42" spans="1:88" s="129" customFormat="1">
      <c r="A42" s="128" t="s">
        <v>406</v>
      </c>
      <c r="B42" s="35">
        <f t="shared" ref="B42" si="2">SUM(B3:B41)</f>
        <v>3153.1</v>
      </c>
      <c r="C42" s="35">
        <f t="shared" ref="C42" si="3">SUM(C3:C41)</f>
        <v>0</v>
      </c>
      <c r="D42" s="35">
        <f t="shared" ref="D42" si="4">SUM(D3:D41)</f>
        <v>3588.3</v>
      </c>
      <c r="E42" s="35">
        <f t="shared" ref="E42" si="5">SUM(E3:E41)</f>
        <v>3216.2</v>
      </c>
      <c r="F42" s="35">
        <f t="shared" ref="F42" si="6">SUM(F3:F41)</f>
        <v>3356.2</v>
      </c>
      <c r="G42" s="35">
        <f t="shared" ref="G42" si="7">SUM(G3:G41)</f>
        <v>308.10000000000002</v>
      </c>
      <c r="H42" s="35">
        <f t="shared" ref="H42" si="8">SUM(H3:H41)</f>
        <v>107566.5</v>
      </c>
      <c r="I42" s="35">
        <f t="shared" ref="I42" si="9">SUM(I3:I41)</f>
        <v>23964.145</v>
      </c>
      <c r="J42" s="35">
        <f t="shared" ref="J42" si="10">SUM(J3:J41)</f>
        <v>13355.099999999999</v>
      </c>
      <c r="K42" s="35">
        <f t="shared" ref="K42" si="11">SUM(K3:K41)</f>
        <v>39500.254999999997</v>
      </c>
      <c r="L42" s="35">
        <f t="shared" ref="L42" si="12">SUM(L3:L41)</f>
        <v>12801.899999999998</v>
      </c>
      <c r="M42" s="35">
        <f t="shared" ref="M42" si="13">SUM(M3:M41)</f>
        <v>44291.8</v>
      </c>
      <c r="N42" s="35">
        <f t="shared" ref="N42" si="14">SUM(N3:N41)</f>
        <v>2430.9</v>
      </c>
      <c r="O42" s="35">
        <f t="shared" ref="O42" si="15">SUM(O3:O41)</f>
        <v>2937.5</v>
      </c>
      <c r="P42" s="35">
        <f t="shared" ref="P42" si="16">SUM(P3:P41)</f>
        <v>4729.3</v>
      </c>
      <c r="Q42" s="35">
        <f t="shared" ref="Q42" si="17">SUM(Q3:Q41)</f>
        <v>826</v>
      </c>
      <c r="R42" s="35">
        <f t="shared" ref="R42" si="18">SUM(R3:R41)</f>
        <v>1602.2</v>
      </c>
      <c r="S42" s="35">
        <f t="shared" ref="S42" si="19">SUM(S3:S41)</f>
        <v>0</v>
      </c>
      <c r="T42" s="35">
        <f t="shared" ref="T42" si="20">SUM(T3:T41)</f>
        <v>2450.1</v>
      </c>
      <c r="U42" s="35">
        <f t="shared" ref="U42" si="21">SUM(U3:U41)</f>
        <v>2634.6</v>
      </c>
      <c r="V42" s="35">
        <f t="shared" ref="V42" si="22">SUM(V3:V41)</f>
        <v>1818.4</v>
      </c>
      <c r="W42" s="35">
        <f t="shared" ref="W42" si="23">SUM(W3:W41)</f>
        <v>0</v>
      </c>
      <c r="X42" s="35">
        <f t="shared" ref="X42" si="24">SUM(X3:X41)</f>
        <v>500</v>
      </c>
      <c r="Y42" s="35">
        <f t="shared" ref="Y42" si="25">SUM(Y3:Y41)</f>
        <v>355</v>
      </c>
      <c r="Z42" s="35">
        <f t="shared" ref="Z42" si="26">SUM(Z3:Z41)</f>
        <v>550</v>
      </c>
      <c r="AA42" s="35">
        <f t="shared" ref="AA42" si="27">SUM(AA3:AA41)</f>
        <v>4768.5</v>
      </c>
      <c r="AB42" s="35">
        <f t="shared" ref="AB42" si="28">SUM(AB3:AB41)</f>
        <v>3312.2</v>
      </c>
      <c r="AC42" s="35">
        <f t="shared" ref="AC42" si="29">SUM(AC3:AC41)</f>
        <v>132675.40000000002</v>
      </c>
      <c r="AD42" s="35">
        <f t="shared" ref="AD42" si="30">SUM(AD3:AD41)</f>
        <v>300</v>
      </c>
      <c r="AE42" s="35">
        <f t="shared" ref="AE42" si="31">SUM(AE3:AE41)</f>
        <v>9459.4</v>
      </c>
      <c r="AF42" s="35">
        <f t="shared" ref="AF42" si="32">SUM(AF3:AF41)</f>
        <v>0</v>
      </c>
      <c r="AG42" s="35">
        <f t="shared" ref="AG42" si="33">SUM(AG3:AG41)</f>
        <v>0</v>
      </c>
      <c r="AH42" s="35">
        <f t="shared" ref="AH42" si="34">SUM(AH3:AH41)</f>
        <v>0</v>
      </c>
      <c r="AI42" s="35">
        <f t="shared" ref="AI42" si="35">SUM(AI3:AI41)</f>
        <v>38773.179999999993</v>
      </c>
      <c r="AJ42" s="35">
        <f t="shared" ref="AJ42" si="36">SUM(AJ3:AJ41)</f>
        <v>64846.308999999994</v>
      </c>
      <c r="AK42" s="35">
        <f t="shared" ref="AK42" si="37">SUM(AK3:AK41)</f>
        <v>70.099999999999994</v>
      </c>
      <c r="AL42" s="35">
        <f t="shared" ref="AL42" si="38">SUM(AL3:AL41)</f>
        <v>910</v>
      </c>
      <c r="AM42" s="35">
        <f t="shared" ref="AM42" si="39">SUM(AM3:AM41)</f>
        <v>11695.6</v>
      </c>
      <c r="AN42" s="35">
        <f t="shared" ref="AN42" si="40">SUM(AN3:AN41)</f>
        <v>0</v>
      </c>
      <c r="AO42" s="35">
        <f t="shared" ref="AO42" si="41">SUM(AO3:AO41)</f>
        <v>3570</v>
      </c>
      <c r="AP42" s="35">
        <f t="shared" ref="AP42" si="42">SUM(AP3:AP41)</f>
        <v>0</v>
      </c>
      <c r="AQ42" s="35">
        <f t="shared" ref="AQ42" si="43">SUM(AQ3:AQ41)</f>
        <v>1000</v>
      </c>
      <c r="AR42" s="35">
        <f t="shared" ref="AR42" si="44">SUM(AR3:AR41)</f>
        <v>0</v>
      </c>
      <c r="AS42" s="35">
        <f t="shared" ref="AS42" si="45">SUM(AS3:AS41)</f>
        <v>3000.3</v>
      </c>
      <c r="AT42" s="35">
        <f t="shared" ref="AT42" si="46">SUM(AT3:AT41)</f>
        <v>1500</v>
      </c>
      <c r="AU42" s="35">
        <f t="shared" ref="AU42" si="47">SUM(AU3:AU41)</f>
        <v>1954.5</v>
      </c>
      <c r="AV42" s="35">
        <f t="shared" ref="AV42" si="48">SUM(AV3:AV41)</f>
        <v>142.03399999999999</v>
      </c>
      <c r="AW42" s="35">
        <f t="shared" ref="AW42" si="49">SUM(AW3:AW41)</f>
        <v>189.38399999999999</v>
      </c>
      <c r="AX42" s="35">
        <f t="shared" ref="AX42" si="50">SUM(AX3:AX41)</f>
        <v>18.2</v>
      </c>
      <c r="AY42" s="35">
        <f t="shared" ref="AY42" si="51">SUM(AY3:AY41)</f>
        <v>1043.5</v>
      </c>
      <c r="AZ42" s="35">
        <f t="shared" ref="AZ42" si="52">SUM(AZ3:AZ41)</f>
        <v>0</v>
      </c>
      <c r="BA42" s="35">
        <f t="shared" ref="BA42" si="53">SUM(BA3:BA41)</f>
        <v>0</v>
      </c>
      <c r="BB42" s="35">
        <f t="shared" ref="BB42" si="54">SUM(BB3:BB41)</f>
        <v>4450.7550000000001</v>
      </c>
      <c r="BC42" s="35">
        <f t="shared" ref="BC42" si="55">SUM(BC3:BC41)</f>
        <v>10251.89</v>
      </c>
      <c r="BD42" s="35">
        <f t="shared" ref="BD42" si="56">SUM(BD3:BD41)</f>
        <v>9760.8000000000011</v>
      </c>
      <c r="BE42" s="35">
        <f t="shared" ref="BE42" si="57">SUM(BE3:BE41)</f>
        <v>1094</v>
      </c>
      <c r="BF42" s="35">
        <f t="shared" ref="BF42" si="58">SUM(BF3:BF41)</f>
        <v>252.24100000000001</v>
      </c>
      <c r="BG42" s="35">
        <f t="shared" ref="BG42" si="59">SUM(BG3:BG41)</f>
        <v>42797</v>
      </c>
      <c r="BH42" s="35">
        <f t="shared" ref="BH42" si="60">SUM(BH3:BH41)</f>
        <v>641.79999999999995</v>
      </c>
      <c r="BI42" s="35">
        <f t="shared" ref="BI42" si="61">SUM(BI3:BI41)</f>
        <v>15388.9</v>
      </c>
      <c r="BJ42" s="35">
        <f t="shared" ref="BJ42" si="62">SUM(BJ3:BJ41)</f>
        <v>598037.80000000005</v>
      </c>
      <c r="BK42" s="35">
        <f t="shared" ref="BK42" si="63">SUM(BK3:BK41)</f>
        <v>11083.2</v>
      </c>
      <c r="BL42" s="35">
        <f t="shared" ref="BL42" si="64">SUM(BL3:BL41)</f>
        <v>49804.800000000003</v>
      </c>
      <c r="BM42" s="35">
        <f t="shared" ref="BM42" si="65">SUM(BM3:BM41)</f>
        <v>1266</v>
      </c>
      <c r="BN42" s="35">
        <f t="shared" ref="BN42" si="66">SUM(BN3:BN41)</f>
        <v>0</v>
      </c>
      <c r="BO42" s="35">
        <f t="shared" ref="BO42" si="67">SUM(BO3:BO41)</f>
        <v>8069.3590000000004</v>
      </c>
      <c r="BP42" s="35">
        <f t="shared" ref="BP42" si="68">SUM(BP3:BP41)</f>
        <v>0</v>
      </c>
      <c r="BQ42" s="35">
        <f t="shared" ref="BQ42" si="69">SUM(BQ3:BQ41)</f>
        <v>40199.699999999997</v>
      </c>
      <c r="BR42" s="35">
        <f t="shared" ref="BR42" si="70">SUM(BR3:BR41)</f>
        <v>39514</v>
      </c>
      <c r="BS42" s="35">
        <f t="shared" ref="BS42" si="71">SUM(BS3:BS41)</f>
        <v>128</v>
      </c>
      <c r="BT42" s="35">
        <f t="shared" ref="BT42" si="72">SUM(BT3:BT41)</f>
        <v>12000</v>
      </c>
      <c r="BU42" s="35">
        <f t="shared" ref="BU42" si="73">SUM(BU3:BU41)</f>
        <v>0</v>
      </c>
      <c r="BV42" s="35">
        <f t="shared" ref="BV42" si="74">SUM(BV3:BV41)</f>
        <v>0</v>
      </c>
      <c r="BW42" s="35">
        <f t="shared" ref="BW42" si="75">SUM(BW3:BW41)</f>
        <v>83608.7</v>
      </c>
      <c r="BX42" s="35">
        <f t="shared" ref="BX42" si="76">SUM(BX3:BX41)</f>
        <v>0</v>
      </c>
      <c r="BY42" s="35">
        <f t="shared" ref="BY42:CI42" si="77">SUM(BY3:BY41)</f>
        <v>7210.6</v>
      </c>
      <c r="BZ42" s="35">
        <f t="shared" si="77"/>
        <v>0</v>
      </c>
      <c r="CA42" s="35">
        <f t="shared" si="77"/>
        <v>0</v>
      </c>
      <c r="CB42" s="35">
        <f t="shared" si="77"/>
        <v>0</v>
      </c>
      <c r="CC42" s="35">
        <f t="shared" si="77"/>
        <v>0</v>
      </c>
      <c r="CD42" s="35">
        <f t="shared" si="77"/>
        <v>0</v>
      </c>
      <c r="CE42" s="35">
        <f t="shared" si="77"/>
        <v>43.8</v>
      </c>
      <c r="CF42" s="35">
        <f t="shared" si="77"/>
        <v>61511.5</v>
      </c>
      <c r="CG42" s="35">
        <f t="shared" si="77"/>
        <v>0</v>
      </c>
      <c r="CH42" s="35">
        <f t="shared" si="77"/>
        <v>1552279.0519999999</v>
      </c>
      <c r="CI42" s="407">
        <f t="shared" si="77"/>
        <v>1098462.8450000002</v>
      </c>
      <c r="CJ42" s="409">
        <f>SUM(B42:CG42)</f>
        <v>1552279.0520000001</v>
      </c>
    </row>
    <row r="43" spans="1:88">
      <c r="AD43" s="132"/>
      <c r="AE43" s="132">
        <f>SUM(B42:AE42)</f>
        <v>426451.10000000003</v>
      </c>
      <c r="AG43" s="133"/>
      <c r="AH43" s="133">
        <f>AF42+AG42+AH42</f>
        <v>0</v>
      </c>
      <c r="AI43" s="133"/>
      <c r="AJ43" s="133"/>
      <c r="AK43" s="133"/>
      <c r="AL43" s="133"/>
      <c r="AM43" s="133"/>
      <c r="AN43" s="133"/>
      <c r="AO43" s="403"/>
      <c r="AP43" s="133"/>
      <c r="AQ43" s="134">
        <f>AI42+AJ42+AK42+AL42+AM42+AN42+AP42+AQ42</f>
        <v>117295.189</v>
      </c>
      <c r="AR43" s="133">
        <f>AR42</f>
        <v>0</v>
      </c>
      <c r="AS43" s="134"/>
      <c r="AT43" s="408"/>
      <c r="AU43" s="134"/>
      <c r="AV43" s="134"/>
      <c r="AW43" s="133">
        <f>AS42+AU42+AV42+AW42</f>
        <v>5286.2179999999998</v>
      </c>
      <c r="AZ43" s="133">
        <f>AX42+AY42+AZ42</f>
        <v>1061.7</v>
      </c>
      <c r="BA43" s="133"/>
      <c r="BJ43" s="403">
        <f>BB42+BC42+BD42+BE42+BG42+BH42+BI42+BJ42</f>
        <v>682422.94500000007</v>
      </c>
      <c r="BK43" s="133"/>
      <c r="BO43" s="403">
        <f>BL42+BN42+BO42</f>
        <v>57874.159</v>
      </c>
      <c r="CG43" s="134">
        <f>SUM(BP42:CG42)</f>
        <v>244216.3</v>
      </c>
      <c r="CI43" s="407"/>
    </row>
  </sheetData>
  <pageMargins left="0.31496062992125984" right="0" top="1.1417322834645669" bottom="0.19685039370078741"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dimension ref="A2:BY42"/>
  <sheetViews>
    <sheetView zoomScaleNormal="100" zoomScaleSheetLayoutView="100" workbookViewId="0">
      <pane xSplit="1" ySplit="2" topLeftCell="P12" activePane="bottomRight" state="frozen"/>
      <selection pane="topRight" activeCell="B1" sqref="B1"/>
      <selection pane="bottomLeft" activeCell="A3" sqref="A3"/>
      <selection pane="bottomRight" sqref="A1:XFD1048576"/>
    </sheetView>
  </sheetViews>
  <sheetFormatPr defaultRowHeight="12.75"/>
  <cols>
    <col min="1" max="1" width="6" style="130" customWidth="1"/>
    <col min="2" max="2" width="7.42578125" style="131" customWidth="1"/>
    <col min="3" max="3" width="8.5703125" style="131" hidden="1" customWidth="1"/>
    <col min="4" max="4" width="7.7109375" style="131" customWidth="1"/>
    <col min="5" max="5" width="8.5703125" style="131" customWidth="1"/>
    <col min="6" max="6" width="7.42578125" style="131" customWidth="1"/>
    <col min="7" max="7" width="6.140625" style="131" customWidth="1"/>
    <col min="8" max="8" width="9.140625" style="131" customWidth="1"/>
    <col min="9" max="9" width="8.140625" style="131" customWidth="1"/>
    <col min="10" max="10" width="8.42578125" style="131" customWidth="1"/>
    <col min="11" max="11" width="8.28515625" style="131" customWidth="1"/>
    <col min="12" max="12" width="7.42578125" style="131" customWidth="1"/>
    <col min="13" max="13" width="6.28515625" style="131" customWidth="1"/>
    <col min="14" max="14" width="7.28515625" style="131" customWidth="1"/>
    <col min="15" max="15" width="7.42578125" style="131" hidden="1" customWidth="1"/>
    <col min="16" max="16" width="7.42578125" style="131" customWidth="1"/>
    <col min="17" max="17" width="8.42578125" style="131" customWidth="1"/>
    <col min="18" max="18" width="8.42578125" style="131" hidden="1" customWidth="1"/>
    <col min="19" max="19" width="7.85546875" style="131" customWidth="1"/>
    <col min="20" max="20" width="6" style="131" customWidth="1"/>
    <col min="21" max="21" width="7.42578125" style="131" customWidth="1"/>
    <col min="22" max="22" width="7.28515625" style="131" customWidth="1"/>
    <col min="23" max="23" width="8.42578125" style="131" hidden="1" customWidth="1"/>
    <col min="24" max="24" width="6" style="131" customWidth="1"/>
    <col min="25" max="25" width="8.28515625" style="131" customWidth="1"/>
    <col min="26" max="26" width="8.28515625" style="36" hidden="1" customWidth="1"/>
    <col min="27" max="27" width="8.42578125" style="36" hidden="1" customWidth="1"/>
    <col min="28" max="28" width="7.85546875" style="36" hidden="1" customWidth="1"/>
    <col min="29" max="30" width="8.140625" style="36" customWidth="1"/>
    <col min="31" max="31" width="6.28515625" style="36" customWidth="1"/>
    <col min="32" max="32" width="6" style="36" customWidth="1"/>
    <col min="33" max="33" width="8.28515625" style="36" customWidth="1"/>
    <col min="34" max="35" width="7.28515625" style="36" hidden="1" customWidth="1"/>
    <col min="36" max="36" width="7.7109375" style="36" customWidth="1"/>
    <col min="37" max="37" width="6" style="36" customWidth="1"/>
    <col min="38" max="38" width="7.7109375" style="36" customWidth="1"/>
    <col min="39" max="39" width="7.85546875" style="36" customWidth="1"/>
    <col min="40" max="40" width="6" style="36" customWidth="1"/>
    <col min="41" max="41" width="7" style="36" bestFit="1" customWidth="1"/>
    <col min="42" max="42" width="5.28515625" style="36" hidden="1" customWidth="1"/>
    <col min="43" max="43" width="6.140625" style="36" hidden="1" customWidth="1"/>
    <col min="44" max="44" width="5.7109375" style="36" hidden="1" customWidth="1"/>
    <col min="45" max="45" width="4.42578125" style="36" hidden="1" customWidth="1"/>
    <col min="46" max="48" width="7.42578125" style="36" hidden="1" customWidth="1"/>
    <col min="49" max="49" width="6.140625" style="36" hidden="1" customWidth="1"/>
    <col min="50" max="50" width="6" style="36" hidden="1" customWidth="1"/>
    <col min="51" max="51" width="8.140625" style="36" hidden="1" customWidth="1"/>
    <col min="52" max="52" width="6.42578125" style="36" hidden="1" customWidth="1"/>
    <col min="53" max="53" width="8.5703125" style="36" hidden="1" customWidth="1"/>
    <col min="54" max="54" width="9.5703125" style="36" hidden="1" customWidth="1"/>
    <col min="55" max="55" width="8.5703125" style="36" customWidth="1"/>
    <col min="56" max="56" width="4.42578125" style="36" hidden="1" customWidth="1"/>
    <col min="57" max="57" width="7.42578125" style="36" hidden="1" customWidth="1"/>
    <col min="58" max="58" width="7.85546875" style="36" customWidth="1"/>
    <col min="59" max="59" width="6.28515625" style="36" hidden="1" customWidth="1"/>
    <col min="60" max="60" width="9.140625" style="36" hidden="1" customWidth="1"/>
    <col min="61" max="61" width="8.140625" style="36" hidden="1" customWidth="1"/>
    <col min="62" max="62" width="6.140625" style="36" hidden="1" customWidth="1"/>
    <col min="63" max="63" width="7.42578125" style="36" hidden="1" customWidth="1"/>
    <col min="64" max="64" width="4" style="36" hidden="1" customWidth="1"/>
    <col min="65" max="65" width="4.42578125" style="36" hidden="1" customWidth="1"/>
    <col min="66" max="66" width="8.42578125" style="36" hidden="1" customWidth="1"/>
    <col min="67" max="67" width="6.42578125" style="36" hidden="1" customWidth="1"/>
    <col min="68" max="68" width="7.42578125" style="36" hidden="1" customWidth="1"/>
    <col min="69" max="69" width="6.140625" style="36" hidden="1" customWidth="1"/>
    <col min="70" max="70" width="8.42578125" style="36" hidden="1" customWidth="1"/>
    <col min="71" max="72" width="7.42578125" style="36" hidden="1" customWidth="1"/>
    <col min="73" max="73" width="4.42578125" style="36" hidden="1" customWidth="1"/>
    <col min="74" max="74" width="8.42578125" style="36" customWidth="1"/>
    <col min="75" max="75" width="7.42578125" style="36" customWidth="1"/>
    <col min="76" max="76" width="10.5703125" style="36" customWidth="1"/>
    <col min="77" max="77" width="10.140625" style="36" bestFit="1" customWidth="1"/>
    <col min="78" max="16384" width="9.140625" style="36"/>
  </cols>
  <sheetData>
    <row r="2" spans="1:76" s="127" customFormat="1">
      <c r="A2" s="126"/>
      <c r="B2" s="379" t="s">
        <v>34</v>
      </c>
      <c r="C2" s="379" t="s">
        <v>393</v>
      </c>
      <c r="D2" s="379" t="s">
        <v>39</v>
      </c>
      <c r="E2" s="379" t="s">
        <v>602</v>
      </c>
      <c r="F2" s="379" t="s">
        <v>388</v>
      </c>
      <c r="G2" s="379" t="s">
        <v>42</v>
      </c>
      <c r="H2" s="379" t="s">
        <v>746</v>
      </c>
      <c r="I2" s="379" t="s">
        <v>386</v>
      </c>
      <c r="J2" s="379" t="s">
        <v>568</v>
      </c>
      <c r="K2" s="379" t="s">
        <v>612</v>
      </c>
      <c r="L2" s="379" t="s">
        <v>574</v>
      </c>
      <c r="M2" s="379" t="s">
        <v>44</v>
      </c>
      <c r="N2" s="379" t="s">
        <v>575</v>
      </c>
      <c r="O2" s="379" t="s">
        <v>854</v>
      </c>
      <c r="P2" s="379" t="s">
        <v>739</v>
      </c>
      <c r="Q2" s="379" t="s">
        <v>567</v>
      </c>
      <c r="R2" s="379" t="s">
        <v>1040</v>
      </c>
      <c r="S2" s="379" t="s">
        <v>744</v>
      </c>
      <c r="T2" s="379" t="s">
        <v>745</v>
      </c>
      <c r="U2" s="379" t="s">
        <v>623</v>
      </c>
      <c r="V2" s="379" t="s">
        <v>627</v>
      </c>
      <c r="W2" s="379" t="s">
        <v>749</v>
      </c>
      <c r="X2" s="379" t="s">
        <v>45</v>
      </c>
      <c r="Y2" s="379" t="s">
        <v>747</v>
      </c>
      <c r="Z2" s="379" t="s">
        <v>48</v>
      </c>
      <c r="AA2" s="379" t="s">
        <v>748</v>
      </c>
      <c r="AB2" s="379" t="s">
        <v>736</v>
      </c>
      <c r="AC2" s="379" t="s">
        <v>564</v>
      </c>
      <c r="AD2" s="379" t="s">
        <v>569</v>
      </c>
      <c r="AE2" s="379" t="s">
        <v>773</v>
      </c>
      <c r="AF2" s="379" t="s">
        <v>565</v>
      </c>
      <c r="AG2" s="379" t="s">
        <v>740</v>
      </c>
      <c r="AH2" s="379" t="s">
        <v>737</v>
      </c>
      <c r="AI2" s="379" t="s">
        <v>735</v>
      </c>
      <c r="AJ2" s="379" t="s">
        <v>738</v>
      </c>
      <c r="AK2" s="379" t="s">
        <v>566</v>
      </c>
      <c r="AL2" s="379" t="s">
        <v>52</v>
      </c>
      <c r="AM2" s="379" t="s">
        <v>741</v>
      </c>
      <c r="AN2" s="379" t="s">
        <v>742</v>
      </c>
      <c r="AO2" s="379" t="s">
        <v>743</v>
      </c>
      <c r="AP2" s="379" t="s">
        <v>751</v>
      </c>
      <c r="AQ2" s="379" t="s">
        <v>759</v>
      </c>
      <c r="AR2" s="379" t="s">
        <v>754</v>
      </c>
      <c r="AS2" s="379" t="s">
        <v>857</v>
      </c>
      <c r="AT2" s="379" t="s">
        <v>576</v>
      </c>
      <c r="AU2" s="379" t="s">
        <v>750</v>
      </c>
      <c r="AV2" s="379" t="s">
        <v>752</v>
      </c>
      <c r="AW2" s="379" t="s">
        <v>755</v>
      </c>
      <c r="AX2" s="379" t="s">
        <v>910</v>
      </c>
      <c r="AY2" s="379" t="s">
        <v>758</v>
      </c>
      <c r="AZ2" s="379" t="s">
        <v>753</v>
      </c>
      <c r="BA2" s="379" t="s">
        <v>909</v>
      </c>
      <c r="BB2" s="379" t="s">
        <v>756</v>
      </c>
      <c r="BC2" s="379" t="s">
        <v>772</v>
      </c>
      <c r="BD2" s="379" t="s">
        <v>855</v>
      </c>
      <c r="BE2" s="379" t="s">
        <v>761</v>
      </c>
      <c r="BF2" s="379" t="s">
        <v>769</v>
      </c>
      <c r="BG2" s="379" t="s">
        <v>760</v>
      </c>
      <c r="BH2" s="379" t="s">
        <v>767</v>
      </c>
      <c r="BI2" s="379" t="s">
        <v>764</v>
      </c>
      <c r="BJ2" s="379" t="s">
        <v>676</v>
      </c>
      <c r="BK2" s="379" t="s">
        <v>677</v>
      </c>
      <c r="BL2" s="379" t="s">
        <v>680</v>
      </c>
      <c r="BM2" s="379" t="s">
        <v>762</v>
      </c>
      <c r="BN2" s="379" t="s">
        <v>765</v>
      </c>
      <c r="BO2" s="379" t="s">
        <v>911</v>
      </c>
      <c r="BP2" s="379" t="s">
        <v>771</v>
      </c>
      <c r="BQ2" s="379" t="s">
        <v>687</v>
      </c>
      <c r="BR2" s="379" t="s">
        <v>768</v>
      </c>
      <c r="BS2" s="379" t="s">
        <v>856</v>
      </c>
      <c r="BT2" s="379" t="s">
        <v>949</v>
      </c>
      <c r="BU2" s="379" t="s">
        <v>763</v>
      </c>
      <c r="BV2" s="379" t="s">
        <v>702</v>
      </c>
      <c r="BW2" s="379" t="s">
        <v>770</v>
      </c>
      <c r="BX2" s="380" t="s">
        <v>406</v>
      </c>
    </row>
    <row r="3" spans="1:76">
      <c r="A3" s="128" t="s">
        <v>379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f>548.2</f>
        <v>548.20000000000005</v>
      </c>
      <c r="AD3" s="35">
        <v>1822</v>
      </c>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222">
        <f>SUM(B3:BW3)</f>
        <v>2370.1999999999998</v>
      </c>
    </row>
    <row r="4" spans="1:76">
      <c r="A4" s="128" t="s">
        <v>380</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f>628.5+432.655</f>
        <v>1061.155</v>
      </c>
      <c r="AD4" s="35">
        <v>1393.2449999999999</v>
      </c>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222">
        <f t="shared" ref="BX4:BX40" si="0">SUM(B4:BW4)</f>
        <v>2454.3999999999996</v>
      </c>
    </row>
    <row r="5" spans="1:76">
      <c r="A5" s="128" t="s">
        <v>381</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f>151.3+22489.439</f>
        <v>22640.738999999998</v>
      </c>
      <c r="AD5" s="35">
        <v>28048.35</v>
      </c>
      <c r="AE5" s="35"/>
      <c r="AF5" s="35">
        <v>910</v>
      </c>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222">
        <f t="shared" si="0"/>
        <v>51599.088999999993</v>
      </c>
    </row>
    <row r="6" spans="1:76">
      <c r="A6" s="128" t="s">
        <v>445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222">
        <f t="shared" si="0"/>
        <v>0</v>
      </c>
    </row>
    <row r="7" spans="1:76">
      <c r="A7" s="128" t="s">
        <v>382</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f>5594.195+60+245.891</f>
        <v>5900.0859999999993</v>
      </c>
      <c r="AD7" s="35">
        <f>13964.005+814.209</f>
        <v>14778.214</v>
      </c>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222">
        <f t="shared" si="0"/>
        <v>20678.3</v>
      </c>
    </row>
    <row r="8" spans="1:76">
      <c r="A8" s="128" t="s">
        <v>453</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222">
        <f t="shared" si="0"/>
        <v>0</v>
      </c>
    </row>
    <row r="9" spans="1:76">
      <c r="A9" s="128" t="s">
        <v>383</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v>1500</v>
      </c>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222">
        <f t="shared" si="0"/>
        <v>1500</v>
      </c>
    </row>
    <row r="10" spans="1:76">
      <c r="A10" s="128" t="s">
        <v>384</v>
      </c>
      <c r="B10" s="35">
        <v>3153.1</v>
      </c>
      <c r="C10" s="35"/>
      <c r="D10" s="35"/>
      <c r="E10" s="35"/>
      <c r="F10" s="35"/>
      <c r="G10" s="35"/>
      <c r="H10" s="35"/>
      <c r="I10" s="35"/>
      <c r="J10" s="35"/>
      <c r="K10" s="35"/>
      <c r="L10" s="35"/>
      <c r="M10" s="35"/>
      <c r="N10" s="35"/>
      <c r="O10" s="35"/>
      <c r="P10" s="35">
        <v>2450.1</v>
      </c>
      <c r="Q10" s="35"/>
      <c r="R10" s="35"/>
      <c r="S10" s="35"/>
      <c r="T10" s="35"/>
      <c r="U10" s="35"/>
      <c r="V10" s="35"/>
      <c r="W10" s="35"/>
      <c r="X10" s="35"/>
      <c r="Y10" s="35"/>
      <c r="Z10" s="35"/>
      <c r="AA10" s="35"/>
      <c r="AB10" s="35"/>
      <c r="AC10" s="35"/>
      <c r="AD10" s="35"/>
      <c r="AE10" s="35"/>
      <c r="AF10" s="35"/>
      <c r="AG10" s="35">
        <f>2820.9+8854.7+20</f>
        <v>11695.6</v>
      </c>
      <c r="AH10" s="35"/>
      <c r="AI10" s="35"/>
      <c r="AJ10" s="35"/>
      <c r="AK10" s="35"/>
      <c r="AL10" s="35"/>
      <c r="AM10" s="35">
        <v>1954.5</v>
      </c>
      <c r="AN10" s="35">
        <f>127.034+15</f>
        <v>142.03399999999999</v>
      </c>
      <c r="AO10" s="35">
        <f>189.384</f>
        <v>189.38399999999999</v>
      </c>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222">
        <f t="shared" si="0"/>
        <v>19584.717999999997</v>
      </c>
    </row>
    <row r="11" spans="1:76">
      <c r="A11" s="128" t="s">
        <v>407</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222">
        <f t="shared" si="0"/>
        <v>0</v>
      </c>
    </row>
    <row r="12" spans="1:76">
      <c r="A12" s="128" t="s">
        <v>387</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222">
        <f t="shared" si="0"/>
        <v>0</v>
      </c>
    </row>
    <row r="13" spans="1:76">
      <c r="A13" s="128" t="s">
        <v>408</v>
      </c>
      <c r="B13" s="35"/>
      <c r="C13" s="35"/>
      <c r="D13" s="35"/>
      <c r="E13" s="35"/>
      <c r="F13" s="35"/>
      <c r="G13" s="35">
        <f>150+158.1</f>
        <v>308.10000000000002</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222">
        <f t="shared" si="0"/>
        <v>308.10000000000002</v>
      </c>
    </row>
    <row r="14" spans="1:76">
      <c r="A14" s="128" t="s">
        <v>410</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222">
        <f t="shared" si="0"/>
        <v>0</v>
      </c>
    </row>
    <row r="15" spans="1:76">
      <c r="A15" s="128" t="s">
        <v>389</v>
      </c>
      <c r="B15" s="35"/>
      <c r="C15" s="35"/>
      <c r="D15" s="35"/>
      <c r="E15" s="35"/>
      <c r="F15" s="35"/>
      <c r="G15" s="35"/>
      <c r="H15" s="35"/>
      <c r="I15" s="35"/>
      <c r="J15" s="35"/>
      <c r="K15" s="35"/>
      <c r="L15" s="35"/>
      <c r="M15" s="35"/>
      <c r="N15" s="35"/>
      <c r="O15" s="35"/>
      <c r="P15" s="35"/>
      <c r="Q15" s="35"/>
      <c r="R15" s="35"/>
      <c r="S15" s="35"/>
      <c r="T15" s="35">
        <v>355</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222">
        <f t="shared" si="0"/>
        <v>355</v>
      </c>
    </row>
    <row r="16" spans="1:76">
      <c r="A16" s="128" t="s">
        <v>390</v>
      </c>
      <c r="B16" s="35"/>
      <c r="C16" s="35"/>
      <c r="D16" s="35"/>
      <c r="E16" s="35"/>
      <c r="F16" s="35"/>
      <c r="G16" s="35"/>
      <c r="H16" s="35"/>
      <c r="I16" s="35"/>
      <c r="J16" s="35"/>
      <c r="K16" s="35"/>
      <c r="L16" s="35"/>
      <c r="M16" s="35"/>
      <c r="N16" s="35"/>
      <c r="O16" s="35"/>
      <c r="P16" s="35"/>
      <c r="Q16" s="35"/>
      <c r="R16" s="35"/>
      <c r="S16" s="35">
        <v>1000</v>
      </c>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222">
        <f t="shared" si="0"/>
        <v>1000</v>
      </c>
    </row>
    <row r="17" spans="1:76">
      <c r="A17" s="128" t="s">
        <v>391</v>
      </c>
      <c r="B17" s="35"/>
      <c r="C17" s="35"/>
      <c r="D17" s="35"/>
      <c r="E17" s="35">
        <f>3216.2</f>
        <v>3216.2</v>
      </c>
      <c r="F17" s="35">
        <v>3356.2</v>
      </c>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222">
        <f t="shared" si="0"/>
        <v>6572.4</v>
      </c>
    </row>
    <row r="18" spans="1:76">
      <c r="A18" s="128" t="s">
        <v>392</v>
      </c>
      <c r="B18" s="35"/>
      <c r="C18" s="35"/>
      <c r="D18" s="35">
        <v>6545.3</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222">
        <f t="shared" si="0"/>
        <v>6545.3</v>
      </c>
    </row>
    <row r="19" spans="1:76">
      <c r="A19" s="128" t="s">
        <v>766</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222">
        <f t="shared" si="0"/>
        <v>0</v>
      </c>
    </row>
    <row r="20" spans="1:76">
      <c r="A20" s="128" t="s">
        <v>394</v>
      </c>
      <c r="B20" s="35"/>
      <c r="C20" s="35"/>
      <c r="D20" s="35"/>
      <c r="E20" s="35"/>
      <c r="F20" s="35"/>
      <c r="G20" s="35"/>
      <c r="H20" s="35"/>
      <c r="I20" s="35"/>
      <c r="J20" s="35"/>
      <c r="K20" s="35"/>
      <c r="L20" s="35"/>
      <c r="M20" s="35"/>
      <c r="N20" s="35"/>
      <c r="O20" s="35"/>
      <c r="P20" s="35"/>
      <c r="Q20" s="35"/>
      <c r="R20" s="35"/>
      <c r="S20" s="35"/>
      <c r="T20" s="35"/>
      <c r="U20" s="35">
        <v>550</v>
      </c>
      <c r="V20" s="35"/>
      <c r="W20" s="35"/>
      <c r="X20" s="35"/>
      <c r="Y20" s="35"/>
      <c r="Z20" s="35"/>
      <c r="AA20" s="35"/>
      <c r="AB20" s="35"/>
      <c r="AC20" s="35"/>
      <c r="AD20" s="35"/>
      <c r="AE20" s="35"/>
      <c r="AF20" s="35"/>
      <c r="AG20" s="35"/>
      <c r="AH20" s="35"/>
      <c r="AI20" s="35"/>
      <c r="AJ20" s="35"/>
      <c r="AK20" s="35">
        <v>245.7</v>
      </c>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222">
        <f t="shared" si="0"/>
        <v>795.7</v>
      </c>
    </row>
    <row r="21" spans="1:76">
      <c r="A21" s="128" t="s">
        <v>409</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222">
        <f t="shared" si="0"/>
        <v>0</v>
      </c>
    </row>
    <row r="22" spans="1:76">
      <c r="A22" s="128" t="s">
        <v>395</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222">
        <f t="shared" si="0"/>
        <v>0</v>
      </c>
    </row>
    <row r="23" spans="1:76">
      <c r="A23" s="128" t="s">
        <v>396</v>
      </c>
      <c r="B23" s="35"/>
      <c r="C23" s="35"/>
      <c r="D23" s="35"/>
      <c r="E23" s="35"/>
      <c r="F23" s="35"/>
      <c r="G23" s="35"/>
      <c r="H23" s="35"/>
      <c r="I23" s="35"/>
      <c r="J23" s="35"/>
      <c r="K23" s="35"/>
      <c r="L23" s="35"/>
      <c r="M23" s="35"/>
      <c r="N23" s="35">
        <v>3092.2</v>
      </c>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222">
        <f t="shared" si="0"/>
        <v>3092.2</v>
      </c>
    </row>
    <row r="24" spans="1:76" hidden="1">
      <c r="A24" s="128" t="s">
        <v>505</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222">
        <f t="shared" si="0"/>
        <v>0</v>
      </c>
    </row>
    <row r="25" spans="1:76">
      <c r="A25" s="128" t="s">
        <v>397</v>
      </c>
      <c r="B25" s="35"/>
      <c r="C25" s="35"/>
      <c r="D25" s="35"/>
      <c r="E25" s="35"/>
      <c r="F25" s="35"/>
      <c r="G25" s="35"/>
      <c r="H25" s="35">
        <v>75325</v>
      </c>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222">
        <f t="shared" si="0"/>
        <v>75325</v>
      </c>
    </row>
    <row r="26" spans="1:76">
      <c r="A26" s="128" t="s">
        <v>398</v>
      </c>
      <c r="B26" s="35"/>
      <c r="C26" s="35"/>
      <c r="D26" s="35"/>
      <c r="E26" s="35"/>
      <c r="F26" s="35"/>
      <c r="G26" s="35"/>
      <c r="H26" s="35">
        <v>32241.5</v>
      </c>
      <c r="I26" s="35">
        <f>246.2+22297.545+1661.4</f>
        <v>24205.145</v>
      </c>
      <c r="J26" s="35">
        <f>38114.755+80+1305.5</f>
        <v>39500.254999999997</v>
      </c>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222">
        <f t="shared" si="0"/>
        <v>95946.9</v>
      </c>
    </row>
    <row r="27" spans="1:76">
      <c r="A27" s="128" t="s">
        <v>454</v>
      </c>
      <c r="B27" s="35"/>
      <c r="C27" s="35"/>
      <c r="D27" s="35"/>
      <c r="E27" s="35"/>
      <c r="F27" s="35"/>
      <c r="G27" s="35"/>
      <c r="H27" s="35"/>
      <c r="I27" s="35"/>
      <c r="J27" s="35"/>
      <c r="K27" s="35">
        <f>44291.8+3518.1</f>
        <v>47809.9</v>
      </c>
      <c r="L27" s="35"/>
      <c r="M27" s="35">
        <v>506.6</v>
      </c>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222">
        <f t="shared" si="0"/>
        <v>48316.5</v>
      </c>
    </row>
    <row r="28" spans="1:76">
      <c r="A28" s="128" t="s">
        <v>399</v>
      </c>
      <c r="B28" s="35"/>
      <c r="C28" s="35"/>
      <c r="D28" s="35"/>
      <c r="E28" s="35"/>
      <c r="F28" s="35"/>
      <c r="G28" s="35"/>
      <c r="H28" s="35"/>
      <c r="I28" s="35"/>
      <c r="J28" s="35"/>
      <c r="K28" s="35"/>
      <c r="L28" s="35">
        <v>2937.5</v>
      </c>
      <c r="M28" s="35"/>
      <c r="N28" s="35"/>
      <c r="O28" s="35"/>
      <c r="P28" s="35"/>
      <c r="Q28" s="35"/>
      <c r="R28" s="35"/>
      <c r="S28" s="35"/>
      <c r="T28" s="35"/>
      <c r="U28" s="35"/>
      <c r="V28" s="35"/>
      <c r="W28" s="35"/>
      <c r="X28" s="35">
        <v>300</v>
      </c>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222">
        <f t="shared" si="0"/>
        <v>3237.5</v>
      </c>
    </row>
    <row r="29" spans="1:76">
      <c r="A29" s="128" t="s">
        <v>400</v>
      </c>
      <c r="B29" s="35"/>
      <c r="C29" s="35"/>
      <c r="D29" s="35"/>
      <c r="E29" s="35"/>
      <c r="F29" s="35"/>
      <c r="G29" s="35"/>
      <c r="H29" s="35"/>
      <c r="I29" s="35"/>
      <c r="J29" s="35"/>
      <c r="K29" s="35"/>
      <c r="L29" s="35"/>
      <c r="M29" s="35">
        <v>319.39999999999998</v>
      </c>
      <c r="N29" s="35"/>
      <c r="O29" s="35"/>
      <c r="P29" s="35"/>
      <c r="Q29" s="35"/>
      <c r="R29" s="35"/>
      <c r="S29" s="35"/>
      <c r="T29" s="35"/>
      <c r="U29" s="35"/>
      <c r="V29" s="35"/>
      <c r="W29" s="35"/>
      <c r="X29" s="35"/>
      <c r="Y29" s="35"/>
      <c r="Z29" s="35"/>
      <c r="AA29" s="35"/>
      <c r="AB29" s="35"/>
      <c r="AC29" s="35">
        <v>5440.4</v>
      </c>
      <c r="AD29" s="35">
        <v>11923.6</v>
      </c>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222">
        <f t="shared" si="0"/>
        <v>17683.400000000001</v>
      </c>
    </row>
    <row r="30" spans="1:76" s="129" customFormat="1">
      <c r="A30" s="128" t="s">
        <v>401</v>
      </c>
      <c r="B30" s="35"/>
      <c r="C30" s="35"/>
      <c r="D30" s="35"/>
      <c r="E30" s="35"/>
      <c r="F30" s="35"/>
      <c r="G30" s="35"/>
      <c r="H30" s="35"/>
      <c r="I30" s="35"/>
      <c r="J30" s="35"/>
      <c r="K30" s="35"/>
      <c r="L30" s="35"/>
      <c r="M30" s="35"/>
      <c r="N30" s="35"/>
      <c r="O30" s="35"/>
      <c r="P30" s="35"/>
      <c r="Q30" s="35">
        <f>2634.6+174.9</f>
        <v>2809.5</v>
      </c>
      <c r="R30" s="35"/>
      <c r="S30" s="35"/>
      <c r="T30" s="35"/>
      <c r="U30" s="35"/>
      <c r="V30" s="35"/>
      <c r="W30" s="35"/>
      <c r="X30" s="35"/>
      <c r="Y30" s="35">
        <v>9459.4</v>
      </c>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222">
        <f t="shared" si="0"/>
        <v>12268.9</v>
      </c>
    </row>
    <row r="31" spans="1:76">
      <c r="A31" s="128" t="s">
        <v>402</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f>3132.4+50.2</f>
        <v>3182.6</v>
      </c>
      <c r="AD31" s="35">
        <v>6880.9</v>
      </c>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222">
        <f t="shared" si="0"/>
        <v>10063.5</v>
      </c>
    </row>
    <row r="32" spans="1:76">
      <c r="A32" s="128" t="s">
        <v>403</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f>200+300+2497.5</f>
        <v>2997.5</v>
      </c>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222">
        <f t="shared" si="0"/>
        <v>2997.5</v>
      </c>
    </row>
    <row r="33" spans="1:77">
      <c r="A33" s="128" t="s">
        <v>385</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222">
        <f t="shared" si="0"/>
        <v>0</v>
      </c>
    </row>
    <row r="34" spans="1:77">
      <c r="A34" s="128" t="s">
        <v>393</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v>2.8</v>
      </c>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222">
        <f t="shared" si="0"/>
        <v>2.8</v>
      </c>
    </row>
    <row r="35" spans="1:77">
      <c r="A35" s="128" t="s">
        <v>378</v>
      </c>
      <c r="B35" s="35"/>
      <c r="C35" s="35"/>
      <c r="D35" s="35"/>
      <c r="E35" s="35"/>
      <c r="F35" s="35"/>
      <c r="G35" s="35"/>
      <c r="H35" s="35"/>
      <c r="I35" s="35"/>
      <c r="J35" s="35"/>
      <c r="K35" s="35"/>
      <c r="L35" s="35"/>
      <c r="M35" s="35"/>
      <c r="N35" s="35"/>
      <c r="O35" s="35"/>
      <c r="P35" s="35"/>
      <c r="Q35" s="35"/>
      <c r="R35" s="35"/>
      <c r="S35" s="35"/>
      <c r="T35" s="35"/>
      <c r="U35" s="35"/>
      <c r="V35" s="35">
        <v>4768.5</v>
      </c>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222">
        <f t="shared" si="0"/>
        <v>4768.5</v>
      </c>
    </row>
    <row r="36" spans="1:77">
      <c r="A36" s="128" t="s">
        <v>404</v>
      </c>
      <c r="B36" s="35"/>
      <c r="C36" s="35"/>
      <c r="D36" s="35"/>
      <c r="E36" s="35"/>
      <c r="F36" s="35"/>
      <c r="G36" s="35"/>
      <c r="H36" s="35"/>
      <c r="I36" s="35"/>
      <c r="J36" s="35"/>
      <c r="K36" s="35"/>
      <c r="L36" s="35"/>
      <c r="M36" s="35"/>
      <c r="N36" s="35"/>
      <c r="O36" s="35"/>
      <c r="P36" s="35"/>
      <c r="Q36" s="35"/>
      <c r="R36" s="35"/>
      <c r="S36" s="35"/>
      <c r="T36" s="35"/>
      <c r="U36" s="35"/>
      <c r="V36" s="35">
        <f>3299+746.5+359.9</f>
        <v>4405.3999999999996</v>
      </c>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222">
        <f t="shared" si="0"/>
        <v>4405.3999999999996</v>
      </c>
    </row>
    <row r="37" spans="1:77" ht="12.75" customHeight="1">
      <c r="A37" s="128" t="s">
        <v>47</v>
      </c>
      <c r="B37" s="35"/>
      <c r="C37" s="35"/>
      <c r="D37" s="35"/>
      <c r="E37" s="35"/>
      <c r="F37" s="35"/>
      <c r="G37" s="35"/>
      <c r="H37" s="35"/>
      <c r="I37" s="35"/>
      <c r="J37" s="35"/>
      <c r="K37" s="35"/>
      <c r="L37" s="35"/>
      <c r="M37" s="35"/>
      <c r="N37" s="35"/>
      <c r="O37" s="35"/>
      <c r="P37" s="35"/>
      <c r="Q37" s="35"/>
      <c r="R37" s="35"/>
      <c r="S37" s="35"/>
      <c r="T37" s="35"/>
      <c r="U37" s="35"/>
      <c r="V37" s="35">
        <v>13.2</v>
      </c>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222">
        <f t="shared" si="0"/>
        <v>13.2</v>
      </c>
    </row>
    <row r="38" spans="1:77">
      <c r="A38" s="128" t="s">
        <v>405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v>0</v>
      </c>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222">
        <f t="shared" si="0"/>
        <v>0</v>
      </c>
    </row>
    <row r="39" spans="1:77">
      <c r="A39" s="128" t="s">
        <v>50</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v>61007.3</v>
      </c>
      <c r="BD39" s="35"/>
      <c r="BE39" s="35"/>
      <c r="BF39" s="35"/>
      <c r="BG39" s="35"/>
      <c r="BH39" s="35"/>
      <c r="BI39" s="35"/>
      <c r="BJ39" s="35"/>
      <c r="BK39" s="35"/>
      <c r="BL39" s="35"/>
      <c r="BM39" s="35"/>
      <c r="BN39" s="35"/>
      <c r="BO39" s="35"/>
      <c r="BP39" s="35"/>
      <c r="BQ39" s="35"/>
      <c r="BR39" s="35"/>
      <c r="BS39" s="35"/>
      <c r="BT39" s="35"/>
      <c r="BU39" s="35"/>
      <c r="BV39" s="35"/>
      <c r="BW39" s="35"/>
      <c r="BX39" s="222">
        <f t="shared" si="0"/>
        <v>61007.3</v>
      </c>
    </row>
    <row r="40" spans="1:77">
      <c r="A40" s="128" t="s">
        <v>51</v>
      </c>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v>61511.5</v>
      </c>
      <c r="BW40" s="35"/>
      <c r="BX40" s="222">
        <f t="shared" si="0"/>
        <v>61511.5</v>
      </c>
    </row>
    <row r="41" spans="1:77" s="129" customFormat="1">
      <c r="A41" s="128" t="s">
        <v>406</v>
      </c>
      <c r="B41" s="35">
        <f>SUM(B3:B40)</f>
        <v>3153.1</v>
      </c>
      <c r="C41" s="35">
        <f t="shared" ref="C41:BO41" si="1">SUM(C3:C40)</f>
        <v>0</v>
      </c>
      <c r="D41" s="35">
        <f t="shared" si="1"/>
        <v>6545.3</v>
      </c>
      <c r="E41" s="35">
        <f t="shared" si="1"/>
        <v>3216.2</v>
      </c>
      <c r="F41" s="35">
        <f t="shared" si="1"/>
        <v>3356.2</v>
      </c>
      <c r="G41" s="35">
        <f t="shared" si="1"/>
        <v>308.10000000000002</v>
      </c>
      <c r="H41" s="35">
        <f t="shared" si="1"/>
        <v>107566.5</v>
      </c>
      <c r="I41" s="35">
        <f t="shared" si="1"/>
        <v>24205.145</v>
      </c>
      <c r="J41" s="35">
        <f t="shared" si="1"/>
        <v>39500.254999999997</v>
      </c>
      <c r="K41" s="35">
        <f t="shared" si="1"/>
        <v>47809.9</v>
      </c>
      <c r="L41" s="35">
        <f t="shared" si="1"/>
        <v>2937.5</v>
      </c>
      <c r="M41" s="35">
        <f t="shared" si="1"/>
        <v>826</v>
      </c>
      <c r="N41" s="35">
        <f t="shared" si="1"/>
        <v>3092.2</v>
      </c>
      <c r="O41" s="35">
        <f t="shared" si="1"/>
        <v>0</v>
      </c>
      <c r="P41" s="35">
        <f t="shared" si="1"/>
        <v>2450.1</v>
      </c>
      <c r="Q41" s="35">
        <f t="shared" si="1"/>
        <v>2809.5</v>
      </c>
      <c r="R41" s="35">
        <f t="shared" si="1"/>
        <v>0</v>
      </c>
      <c r="S41" s="35">
        <f t="shared" si="1"/>
        <v>1000</v>
      </c>
      <c r="T41" s="35">
        <f t="shared" si="1"/>
        <v>355</v>
      </c>
      <c r="U41" s="35">
        <f t="shared" si="1"/>
        <v>550</v>
      </c>
      <c r="V41" s="35">
        <f t="shared" si="1"/>
        <v>9187.1</v>
      </c>
      <c r="W41" s="35">
        <f t="shared" si="1"/>
        <v>0</v>
      </c>
      <c r="X41" s="35">
        <f t="shared" si="1"/>
        <v>300</v>
      </c>
      <c r="Y41" s="35">
        <f t="shared" si="1"/>
        <v>9459.4</v>
      </c>
      <c r="Z41" s="35">
        <f t="shared" si="1"/>
        <v>0</v>
      </c>
      <c r="AA41" s="35">
        <f t="shared" si="1"/>
        <v>0</v>
      </c>
      <c r="AB41" s="35">
        <f t="shared" si="1"/>
        <v>0</v>
      </c>
      <c r="AC41" s="35">
        <f t="shared" si="1"/>
        <v>38773.179999999993</v>
      </c>
      <c r="AD41" s="35">
        <f t="shared" si="1"/>
        <v>64846.308999999994</v>
      </c>
      <c r="AE41" s="35">
        <f t="shared" si="1"/>
        <v>0</v>
      </c>
      <c r="AF41" s="35">
        <f t="shared" si="1"/>
        <v>910</v>
      </c>
      <c r="AG41" s="35">
        <f t="shared" si="1"/>
        <v>11695.6</v>
      </c>
      <c r="AH41" s="35">
        <f t="shared" si="1"/>
        <v>0</v>
      </c>
      <c r="AI41" s="35">
        <f t="shared" si="1"/>
        <v>0</v>
      </c>
      <c r="AJ41" s="35">
        <f t="shared" si="1"/>
        <v>1500</v>
      </c>
      <c r="AK41" s="35">
        <f t="shared" si="1"/>
        <v>245.7</v>
      </c>
      <c r="AL41" s="35">
        <f t="shared" si="1"/>
        <v>3000.3</v>
      </c>
      <c r="AM41" s="35">
        <f t="shared" si="1"/>
        <v>1954.5</v>
      </c>
      <c r="AN41" s="35">
        <f t="shared" si="1"/>
        <v>142.03399999999999</v>
      </c>
      <c r="AO41" s="35">
        <f t="shared" si="1"/>
        <v>189.38399999999999</v>
      </c>
      <c r="AP41" s="35">
        <f t="shared" si="1"/>
        <v>0</v>
      </c>
      <c r="AQ41" s="35">
        <f t="shared" si="1"/>
        <v>0</v>
      </c>
      <c r="AR41" s="35">
        <f t="shared" si="1"/>
        <v>0</v>
      </c>
      <c r="AS41" s="35">
        <f t="shared" si="1"/>
        <v>0</v>
      </c>
      <c r="AT41" s="35">
        <f t="shared" si="1"/>
        <v>0</v>
      </c>
      <c r="AU41" s="35">
        <f t="shared" si="1"/>
        <v>0</v>
      </c>
      <c r="AV41" s="35">
        <f t="shared" si="1"/>
        <v>0</v>
      </c>
      <c r="AW41" s="35">
        <f t="shared" si="1"/>
        <v>0</v>
      </c>
      <c r="AX41" s="35">
        <f t="shared" si="1"/>
        <v>0</v>
      </c>
      <c r="AY41" s="35">
        <f t="shared" si="1"/>
        <v>0</v>
      </c>
      <c r="AZ41" s="35">
        <f t="shared" si="1"/>
        <v>0</v>
      </c>
      <c r="BA41" s="35">
        <f t="shared" si="1"/>
        <v>0</v>
      </c>
      <c r="BB41" s="35">
        <f t="shared" si="1"/>
        <v>0</v>
      </c>
      <c r="BC41" s="35">
        <f t="shared" si="1"/>
        <v>61007.3</v>
      </c>
      <c r="BD41" s="35">
        <f t="shared" si="1"/>
        <v>0</v>
      </c>
      <c r="BE41" s="35">
        <f t="shared" si="1"/>
        <v>0</v>
      </c>
      <c r="BF41" s="35">
        <f t="shared" si="1"/>
        <v>0</v>
      </c>
      <c r="BG41" s="35">
        <f t="shared" si="1"/>
        <v>0</v>
      </c>
      <c r="BH41" s="35">
        <f t="shared" si="1"/>
        <v>0</v>
      </c>
      <c r="BI41" s="35">
        <f t="shared" si="1"/>
        <v>0</v>
      </c>
      <c r="BJ41" s="35">
        <f t="shared" si="1"/>
        <v>0</v>
      </c>
      <c r="BK41" s="35">
        <f t="shared" si="1"/>
        <v>0</v>
      </c>
      <c r="BL41" s="35">
        <f t="shared" si="1"/>
        <v>0</v>
      </c>
      <c r="BM41" s="35">
        <f t="shared" si="1"/>
        <v>0</v>
      </c>
      <c r="BN41" s="35">
        <f t="shared" si="1"/>
        <v>0</v>
      </c>
      <c r="BO41" s="35">
        <f t="shared" si="1"/>
        <v>0</v>
      </c>
      <c r="BP41" s="35">
        <f t="shared" ref="BP41:BX41" si="2">SUM(BP3:BP40)</f>
        <v>0</v>
      </c>
      <c r="BQ41" s="35">
        <f t="shared" si="2"/>
        <v>0</v>
      </c>
      <c r="BR41" s="35">
        <f t="shared" si="2"/>
        <v>0</v>
      </c>
      <c r="BS41" s="35">
        <f t="shared" si="2"/>
        <v>0</v>
      </c>
      <c r="BT41" s="35">
        <f t="shared" si="2"/>
        <v>0</v>
      </c>
      <c r="BU41" s="35">
        <f t="shared" si="2"/>
        <v>0</v>
      </c>
      <c r="BV41" s="35">
        <f t="shared" si="2"/>
        <v>61511.5</v>
      </c>
      <c r="BW41" s="35">
        <f t="shared" si="2"/>
        <v>0</v>
      </c>
      <c r="BX41" s="35">
        <f t="shared" si="2"/>
        <v>514403.30700000003</v>
      </c>
      <c r="BY41" s="133">
        <f>SUM(B41:BW41)</f>
        <v>514403.30699999997</v>
      </c>
    </row>
    <row r="42" spans="1:77">
      <c r="X42" s="132"/>
      <c r="Y42" s="132">
        <f>SUM(B41:Y41)</f>
        <v>268627.5</v>
      </c>
      <c r="AA42" s="133"/>
      <c r="AB42" s="133">
        <f>Z41+AA41+AB41</f>
        <v>0</v>
      </c>
      <c r="AC42" s="133"/>
      <c r="AD42" s="133"/>
      <c r="AE42" s="133"/>
      <c r="AF42" s="133"/>
      <c r="AG42" s="133"/>
      <c r="AH42" s="133"/>
      <c r="AI42" s="133"/>
      <c r="AJ42" s="134">
        <f>AC41+AD41+AE41+AF41+AG41+AH41+AI41+AJ41</f>
        <v>117725.08899999999</v>
      </c>
      <c r="AK42" s="133">
        <f>AK41</f>
        <v>245.7</v>
      </c>
      <c r="AL42" s="134"/>
      <c r="AM42" s="134"/>
      <c r="AN42" s="134"/>
      <c r="AO42" s="133">
        <f>AL41+AM41+AN41+AO41</f>
        <v>5286.2179999999998</v>
      </c>
      <c r="AR42" s="133">
        <f>AP41+AQ41+AR41</f>
        <v>0</v>
      </c>
      <c r="AS42" s="133"/>
      <c r="BB42" s="133">
        <f>AT41+AU41+AV41+AW41+AY41+AZ41+BA41+BB41</f>
        <v>0</v>
      </c>
      <c r="BF42" s="133">
        <f>BC41+BE41+BF41</f>
        <v>61007.3</v>
      </c>
      <c r="BW42" s="134">
        <f>SUM(BG41:BW41)</f>
        <v>61511.5</v>
      </c>
      <c r="BY42" s="133">
        <f>SUM(B42:BW42)</f>
        <v>514403.30699999997</v>
      </c>
    </row>
  </sheetData>
  <pageMargins left="0.31496062992125984" right="0" top="1.1417322834645669" bottom="0.19685039370078741"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frmRRO4</vt:lpstr>
      <vt:lpstr>план 2019</vt:lpstr>
      <vt:lpstr>план 2020</vt:lpstr>
      <vt:lpstr>план 2021(2)</vt:lpstr>
      <vt:lpstr>план 2021(3)</vt:lpstr>
      <vt:lpstr>план 2022</vt:lpstr>
      <vt:lpstr>Лист2</vt:lpstr>
      <vt:lpstr>frmRRO4!Заголовки_для_печати</vt:lpstr>
      <vt:lpstr>'план 2020'!Заголовки_для_печати</vt:lpstr>
      <vt:lpstr>'план 2021(2)'!Заголовки_для_печати</vt:lpstr>
      <vt:lpstr>'план 2021(3)'!Заголовки_для_печати</vt:lpstr>
      <vt:lpstr>'план 2022'!Заголовки_для_печати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2016-03-29T09:23:23Z</dcterms:created>
  <dcterms:modified xsi:type="dcterms:W3CDTF">2020-06-03T08:03:31Z</dcterms:modified>
</cp:coreProperties>
</file>